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Rocio Sanchez\Downloads\"/>
    </mc:Choice>
  </mc:AlternateContent>
  <xr:revisionPtr revIDLastSave="0" documentId="13_ncr:1_{257FCC4A-6128-4B66-9610-A54D7627B816}" xr6:coauthVersionLast="47" xr6:coauthVersionMax="47" xr10:uidLastSave="{00000000-0000-0000-0000-000000000000}"/>
  <bookViews>
    <workbookView xWindow="19090" yWindow="-110" windowWidth="17020" windowHeight="10000" activeTab="4" xr2:uid="{00000000-000D-0000-FFFF-FFFF00000000}"/>
  </bookViews>
  <sheets>
    <sheet name="Agua" sheetId="4" r:id="rId1"/>
    <sheet name="Input Agua" sheetId="6" state="hidden" r:id="rId2"/>
    <sheet name="Input Electricidad" sheetId="10" state="hidden" r:id="rId3"/>
    <sheet name="Electricidad" sheetId="8" r:id="rId4"/>
    <sheet name="Combustibles" sheetId="11" r:id="rId5"/>
    <sheet name="Consumo de agua Sedes APL " sheetId="16" state="hidden" r:id="rId6"/>
    <sheet name="Info sedes para Cliente Libre" sheetId="12" state="hidden" r:id="rId7"/>
  </sheets>
  <definedNames>
    <definedName name="_xlnm._FilterDatabase" localSheetId="4" hidden="1">Combustibles!$A$1:$Q$19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8" l="1"/>
  <c r="E7" i="8"/>
  <c r="F7" i="8"/>
  <c r="G7" i="8"/>
  <c r="H7" i="8"/>
  <c r="I7" i="8"/>
  <c r="J7" i="8"/>
  <c r="K7" i="8"/>
  <c r="N7" i="8"/>
  <c r="O7" i="8"/>
  <c r="P7" i="8"/>
  <c r="D8" i="10" s="1"/>
  <c r="D6" i="8"/>
  <c r="E6" i="8"/>
  <c r="F6" i="8"/>
  <c r="G6" i="8"/>
  <c r="H6" i="8"/>
  <c r="I6" i="8"/>
  <c r="J6" i="8"/>
  <c r="K6" i="8"/>
  <c r="L6" i="8"/>
  <c r="M6" i="8"/>
  <c r="N6" i="8"/>
  <c r="O6" i="8"/>
  <c r="P6" i="8"/>
  <c r="Q7" i="8" s="1"/>
  <c r="D5" i="8"/>
  <c r="E5" i="8"/>
  <c r="F5" i="8"/>
  <c r="G5" i="8"/>
  <c r="H5" i="8"/>
  <c r="I5" i="8"/>
  <c r="J5" i="8"/>
  <c r="K5" i="8"/>
  <c r="L5" i="8"/>
  <c r="M5" i="8"/>
  <c r="N5" i="8"/>
  <c r="O5" i="8"/>
  <c r="Q4" i="11"/>
  <c r="Q7" i="11"/>
  <c r="Q6" i="11"/>
  <c r="O69" i="8"/>
  <c r="M7" i="11"/>
  <c r="L7" i="11"/>
  <c r="K7" i="11"/>
  <c r="J7" i="11"/>
  <c r="I7" i="11"/>
  <c r="H7" i="11"/>
  <c r="P7" i="11" s="1"/>
  <c r="N13" i="11"/>
  <c r="M13" i="11"/>
  <c r="L13" i="11"/>
  <c r="K13" i="11"/>
  <c r="J13" i="11"/>
  <c r="I13" i="11"/>
  <c r="H13" i="11"/>
  <c r="G13" i="11"/>
  <c r="F13" i="11"/>
  <c r="P13" i="11" s="1"/>
  <c r="O52" i="4"/>
  <c r="N52" i="4"/>
  <c r="M52" i="4"/>
  <c r="L52" i="4"/>
  <c r="K52" i="4"/>
  <c r="J52" i="4"/>
  <c r="I52" i="4"/>
  <c r="H52" i="4"/>
  <c r="G52" i="4"/>
  <c r="F52" i="4"/>
  <c r="E52" i="4"/>
  <c r="D52" i="4"/>
  <c r="P52" i="4" s="1"/>
  <c r="O31" i="4"/>
  <c r="N31" i="4"/>
  <c r="M31" i="4"/>
  <c r="L31" i="4"/>
  <c r="K31" i="4"/>
  <c r="J31" i="4"/>
  <c r="I31" i="4"/>
  <c r="H31" i="4"/>
  <c r="G31" i="4"/>
  <c r="F31" i="4"/>
  <c r="E31" i="4"/>
  <c r="D31" i="4"/>
  <c r="P31" i="4" s="1"/>
  <c r="O31" i="8"/>
  <c r="N31" i="8"/>
  <c r="M31" i="8"/>
  <c r="L31" i="8"/>
  <c r="K31" i="8"/>
  <c r="J31" i="8"/>
  <c r="I31" i="8"/>
  <c r="H31" i="8"/>
  <c r="G31" i="8"/>
  <c r="F31" i="8"/>
  <c r="E31" i="8"/>
  <c r="L9" i="10"/>
  <c r="D31" i="8"/>
  <c r="P31" i="8" s="1"/>
  <c r="L8" i="10" s="1"/>
  <c r="N4" i="11"/>
  <c r="M4" i="11"/>
  <c r="L4" i="11"/>
  <c r="K4" i="11"/>
  <c r="J4" i="11"/>
  <c r="I4" i="11"/>
  <c r="H4" i="11"/>
  <c r="G4" i="11"/>
  <c r="D4" i="11"/>
  <c r="P4" i="11" s="1"/>
  <c r="O4" i="11"/>
  <c r="F4" i="11"/>
  <c r="E4" i="11"/>
  <c r="O10" i="4"/>
  <c r="N10" i="4"/>
  <c r="M10" i="4"/>
  <c r="L10" i="4"/>
  <c r="K10" i="4"/>
  <c r="J10" i="4"/>
  <c r="I10" i="4"/>
  <c r="H10" i="4"/>
  <c r="G10" i="4"/>
  <c r="F10" i="4"/>
  <c r="E10" i="4"/>
  <c r="D10" i="4"/>
  <c r="P10" i="4" s="1"/>
  <c r="O67" i="4"/>
  <c r="O58" i="4"/>
  <c r="E40" i="4"/>
  <c r="O25" i="4"/>
  <c r="N25" i="4"/>
  <c r="O22" i="4"/>
  <c r="O67" i="8"/>
  <c r="O43" i="8"/>
  <c r="O40" i="8"/>
  <c r="O37" i="8"/>
  <c r="P37" i="8" s="1"/>
  <c r="N8" i="10" s="1"/>
  <c r="O22" i="8"/>
  <c r="D9" i="4"/>
  <c r="O10" i="8"/>
  <c r="O4" i="8"/>
  <c r="O43" i="4"/>
  <c r="O70" i="4"/>
  <c r="N70" i="4"/>
  <c r="N67" i="4"/>
  <c r="O46" i="4"/>
  <c r="O25" i="8"/>
  <c r="N25" i="8"/>
  <c r="M64" i="8"/>
  <c r="N40" i="8"/>
  <c r="M40" i="8"/>
  <c r="N10" i="8"/>
  <c r="D14" i="16"/>
  <c r="O2" i="16"/>
  <c r="O24" i="16"/>
  <c r="L2" i="16"/>
  <c r="D8" i="16"/>
  <c r="N2" i="16"/>
  <c r="S31" i="16"/>
  <c r="O3" i="16"/>
  <c r="M2" i="16"/>
  <c r="O25" i="16"/>
  <c r="O13" i="16"/>
  <c r="O12" i="16"/>
  <c r="K2" i="16"/>
  <c r="J2" i="16"/>
  <c r="I2" i="16"/>
  <c r="H2" i="16"/>
  <c r="G2" i="16"/>
  <c r="F2" i="16"/>
  <c r="E2" i="16"/>
  <c r="D2" i="16"/>
  <c r="K64" i="8"/>
  <c r="P64" i="8" s="1"/>
  <c r="W8" i="10" s="1"/>
  <c r="O70" i="8"/>
  <c r="N67" i="8"/>
  <c r="O46" i="8"/>
  <c r="L46" i="8"/>
  <c r="K46" i="8"/>
  <c r="N43" i="8"/>
  <c r="R9" i="10"/>
  <c r="N49" i="8"/>
  <c r="P49" i="8" s="1"/>
  <c r="R8" i="10" s="1"/>
  <c r="N22" i="8"/>
  <c r="L22" i="8"/>
  <c r="K22" i="8"/>
  <c r="I25" i="16"/>
  <c r="J25" i="16"/>
  <c r="K25" i="16"/>
  <c r="R30" i="16"/>
  <c r="M25" i="16"/>
  <c r="N25" i="16"/>
  <c r="J24" i="16"/>
  <c r="K24" i="16"/>
  <c r="L24" i="16"/>
  <c r="M24" i="16"/>
  <c r="N24" i="16"/>
  <c r="N31" i="16"/>
  <c r="N30" i="16"/>
  <c r="L30" i="16"/>
  <c r="K31" i="16"/>
  <c r="L31" i="16"/>
  <c r="M31" i="16"/>
  <c r="K30" i="16"/>
  <c r="M30" i="16"/>
  <c r="L19" i="16"/>
  <c r="K19" i="16"/>
  <c r="J19" i="16"/>
  <c r="G19" i="16"/>
  <c r="F19" i="16"/>
  <c r="E19" i="16"/>
  <c r="D19" i="16"/>
  <c r="L18" i="16"/>
  <c r="K18" i="16"/>
  <c r="J18" i="16"/>
  <c r="N13" i="16"/>
  <c r="M13" i="16"/>
  <c r="L13" i="16"/>
  <c r="K13" i="16"/>
  <c r="J13" i="16"/>
  <c r="I13" i="16"/>
  <c r="H13" i="16"/>
  <c r="G13" i="16"/>
  <c r="F13" i="16"/>
  <c r="E13" i="16"/>
  <c r="D13" i="16"/>
  <c r="N12" i="16"/>
  <c r="M12" i="16"/>
  <c r="L12" i="16"/>
  <c r="K12" i="16"/>
  <c r="J12" i="16"/>
  <c r="I12" i="16"/>
  <c r="H12" i="16"/>
  <c r="G12" i="16"/>
  <c r="F12" i="16"/>
  <c r="E12" i="16"/>
  <c r="D12" i="16"/>
  <c r="N7" i="16"/>
  <c r="M7" i="16"/>
  <c r="L7" i="16"/>
  <c r="K7" i="16"/>
  <c r="J7" i="16"/>
  <c r="I7" i="16"/>
  <c r="H7" i="16"/>
  <c r="G7" i="16"/>
  <c r="F7" i="16"/>
  <c r="E7" i="16"/>
  <c r="D7" i="16"/>
  <c r="N6" i="16"/>
  <c r="M6" i="16"/>
  <c r="L6" i="16"/>
  <c r="K6" i="16"/>
  <c r="J6" i="16"/>
  <c r="I6" i="16"/>
  <c r="H6" i="16"/>
  <c r="G6" i="16"/>
  <c r="F6" i="16"/>
  <c r="E6" i="16"/>
  <c r="D6" i="16"/>
  <c r="N46" i="4"/>
  <c r="N43" i="4"/>
  <c r="M22" i="4"/>
  <c r="N22" i="4"/>
  <c r="N7" i="4"/>
  <c r="M7" i="4"/>
  <c r="N4" i="8"/>
  <c r="M4" i="8"/>
  <c r="L4" i="8"/>
  <c r="N4" i="4"/>
  <c r="M4" i="4"/>
  <c r="L4" i="4"/>
  <c r="M46" i="4"/>
  <c r="L46" i="4"/>
  <c r="N70" i="8"/>
  <c r="M70" i="8"/>
  <c r="L70" i="8"/>
  <c r="M67" i="8"/>
  <c r="L67" i="8"/>
  <c r="N46" i="8"/>
  <c r="M46" i="8"/>
  <c r="M43" i="8"/>
  <c r="K43" i="8"/>
  <c r="L43" i="8"/>
  <c r="L40" i="8"/>
  <c r="K40" i="8"/>
  <c r="M22" i="8"/>
  <c r="L10" i="8"/>
  <c r="M10" i="8"/>
  <c r="M70" i="4"/>
  <c r="M67" i="4"/>
  <c r="M58" i="4"/>
  <c r="L58" i="4"/>
  <c r="L25" i="4"/>
  <c r="K25" i="4"/>
  <c r="K25" i="8"/>
  <c r="L25" i="8"/>
  <c r="M25" i="8"/>
  <c r="M25" i="4"/>
  <c r="J22" i="4"/>
  <c r="K22" i="4"/>
  <c r="L22" i="4"/>
  <c r="F10" i="8"/>
  <c r="L70" i="4"/>
  <c r="L67" i="4"/>
  <c r="L61" i="4"/>
  <c r="J52" i="8"/>
  <c r="I52" i="8"/>
  <c r="H52" i="8"/>
  <c r="G52" i="8"/>
  <c r="F52" i="8"/>
  <c r="E52" i="8"/>
  <c r="D52" i="8"/>
  <c r="P52" i="8" s="1"/>
  <c r="K46" i="4"/>
  <c r="K10" i="8"/>
  <c r="J10" i="8"/>
  <c r="I10" i="8"/>
  <c r="K58" i="4"/>
  <c r="L7" i="4"/>
  <c r="K7" i="4"/>
  <c r="K4" i="4"/>
  <c r="P25" i="16"/>
  <c r="P24" i="16"/>
  <c r="P23" i="16"/>
  <c r="P22" i="16"/>
  <c r="P21" i="16"/>
  <c r="P20" i="16"/>
  <c r="P19" i="16"/>
  <c r="P18" i="16"/>
  <c r="O17" i="16"/>
  <c r="N17" i="16"/>
  <c r="M17" i="16"/>
  <c r="L17" i="16"/>
  <c r="K17" i="16"/>
  <c r="J17" i="16"/>
  <c r="I17" i="16"/>
  <c r="H17" i="16"/>
  <c r="G17" i="16"/>
  <c r="F17" i="16"/>
  <c r="E17" i="16"/>
  <c r="D17" i="16"/>
  <c r="P17" i="16" s="1"/>
  <c r="G16" i="16"/>
  <c r="P16" i="16" s="1"/>
  <c r="O15" i="16"/>
  <c r="N15" i="16"/>
  <c r="M15" i="16"/>
  <c r="L15" i="16"/>
  <c r="K15" i="16"/>
  <c r="J15" i="16"/>
  <c r="I15" i="16"/>
  <c r="H15" i="16"/>
  <c r="G15" i="16"/>
  <c r="F15" i="16"/>
  <c r="E15" i="16"/>
  <c r="D15" i="16"/>
  <c r="P15" i="16" s="1"/>
  <c r="P14" i="16"/>
  <c r="J31" i="16"/>
  <c r="P13" i="16"/>
  <c r="P12" i="16"/>
  <c r="O11" i="16"/>
  <c r="N11" i="16"/>
  <c r="M11" i="16"/>
  <c r="L11" i="16"/>
  <c r="K11" i="16"/>
  <c r="J11" i="16"/>
  <c r="I11" i="16"/>
  <c r="H11" i="16"/>
  <c r="G11" i="16"/>
  <c r="F11" i="16"/>
  <c r="F29" i="16" s="1"/>
  <c r="E11" i="16"/>
  <c r="D11" i="16"/>
  <c r="P11" i="16" s="1"/>
  <c r="O10" i="16"/>
  <c r="N10" i="16"/>
  <c r="M10" i="16"/>
  <c r="M28" i="16" s="1"/>
  <c r="L10" i="16"/>
  <c r="L28" i="16" s="1"/>
  <c r="K10" i="16"/>
  <c r="J10" i="16"/>
  <c r="J28" i="16" s="1"/>
  <c r="I10" i="16"/>
  <c r="I28" i="16" s="1"/>
  <c r="H10" i="16"/>
  <c r="H28" i="16" s="1"/>
  <c r="G10" i="16"/>
  <c r="G28" i="16" s="1"/>
  <c r="F10" i="16"/>
  <c r="F28" i="16" s="1"/>
  <c r="E10" i="16"/>
  <c r="E28" i="16" s="1"/>
  <c r="D10" i="16"/>
  <c r="O9" i="16"/>
  <c r="N9" i="16"/>
  <c r="M9" i="16"/>
  <c r="L9" i="16"/>
  <c r="K9" i="16"/>
  <c r="J9" i="16"/>
  <c r="I9" i="16"/>
  <c r="H9" i="16"/>
  <c r="G9" i="16"/>
  <c r="F9" i="16"/>
  <c r="E9" i="16"/>
  <c r="D9" i="16"/>
  <c r="P9" i="16" s="1"/>
  <c r="O8" i="16"/>
  <c r="N8" i="16"/>
  <c r="N26" i="16" s="1"/>
  <c r="M8" i="16"/>
  <c r="M26" i="16" s="1"/>
  <c r="L8" i="16"/>
  <c r="L26" i="16" s="1"/>
  <c r="K8" i="16"/>
  <c r="K26" i="16" s="1"/>
  <c r="J8" i="16"/>
  <c r="J26" i="16" s="1"/>
  <c r="I8" i="16"/>
  <c r="I26" i="16" s="1"/>
  <c r="H8" i="16"/>
  <c r="H26" i="16" s="1"/>
  <c r="G8" i="16"/>
  <c r="G26" i="16" s="1"/>
  <c r="F8" i="16"/>
  <c r="F26" i="16" s="1"/>
  <c r="E8" i="16"/>
  <c r="E26" i="16" s="1"/>
  <c r="I31" i="16"/>
  <c r="H31" i="16"/>
  <c r="G31" i="16"/>
  <c r="F31" i="16"/>
  <c r="E31" i="16"/>
  <c r="J30" i="16"/>
  <c r="I30" i="16"/>
  <c r="H30" i="16"/>
  <c r="G30" i="16"/>
  <c r="F30" i="16"/>
  <c r="E30" i="16"/>
  <c r="O5" i="16"/>
  <c r="N5" i="16"/>
  <c r="N29" i="16" s="1"/>
  <c r="M5" i="16"/>
  <c r="M29" i="16" s="1"/>
  <c r="L5" i="16"/>
  <c r="L29" i="16" s="1"/>
  <c r="K5" i="16"/>
  <c r="K29" i="16" s="1"/>
  <c r="J5" i="16"/>
  <c r="J29" i="16" s="1"/>
  <c r="I5" i="16"/>
  <c r="I29" i="16" s="1"/>
  <c r="H5" i="16"/>
  <c r="H29" i="16" s="1"/>
  <c r="G5" i="16"/>
  <c r="G29" i="16" s="1"/>
  <c r="E5" i="16"/>
  <c r="E29" i="16" s="1"/>
  <c r="D5" i="16"/>
  <c r="O4" i="16"/>
  <c r="N4" i="16"/>
  <c r="N28" i="16" s="1"/>
  <c r="K4" i="16"/>
  <c r="N3" i="16"/>
  <c r="N27" i="16" s="1"/>
  <c r="M3" i="16"/>
  <c r="M27" i="16" s="1"/>
  <c r="L3" i="16"/>
  <c r="L27" i="16" s="1"/>
  <c r="K3" i="16"/>
  <c r="K27" i="16" s="1"/>
  <c r="J3" i="16"/>
  <c r="J27" i="16" s="1"/>
  <c r="I3" i="16"/>
  <c r="I27" i="16" s="1"/>
  <c r="H3" i="16"/>
  <c r="H27" i="16" s="1"/>
  <c r="G3" i="16"/>
  <c r="G27" i="16" s="1"/>
  <c r="F3" i="16"/>
  <c r="F27" i="16" s="1"/>
  <c r="E3" i="16"/>
  <c r="E27" i="16" s="1"/>
  <c r="D3" i="16"/>
  <c r="P2" i="16"/>
  <c r="D34" i="8"/>
  <c r="P34" i="8" s="1"/>
  <c r="D34" i="4"/>
  <c r="P34" i="4" s="1"/>
  <c r="K67" i="8"/>
  <c r="J4" i="4"/>
  <c r="J7" i="4"/>
  <c r="I7" i="4"/>
  <c r="H7" i="4"/>
  <c r="G7" i="4"/>
  <c r="F7" i="4"/>
  <c r="E7" i="4"/>
  <c r="K4" i="8"/>
  <c r="I22" i="4"/>
  <c r="I10" i="11"/>
  <c r="P10" i="11" s="1"/>
  <c r="K70" i="8"/>
  <c r="J67" i="8"/>
  <c r="H67" i="8"/>
  <c r="G67" i="8"/>
  <c r="F67" i="8"/>
  <c r="E67" i="8"/>
  <c r="D67" i="8"/>
  <c r="I67" i="8"/>
  <c r="J43" i="8"/>
  <c r="I43" i="8"/>
  <c r="J40" i="8"/>
  <c r="I22" i="8"/>
  <c r="J22" i="8"/>
  <c r="J4" i="8"/>
  <c r="J25" i="4"/>
  <c r="K70" i="4"/>
  <c r="J70" i="4"/>
  <c r="K67" i="4"/>
  <c r="K61" i="4"/>
  <c r="J61" i="4"/>
  <c r="J58" i="4"/>
  <c r="K43" i="4"/>
  <c r="J43" i="4"/>
  <c r="I40" i="4"/>
  <c r="J40" i="4"/>
  <c r="D22" i="4"/>
  <c r="F22" i="4"/>
  <c r="G22" i="4"/>
  <c r="H22" i="4"/>
  <c r="AB7" i="6"/>
  <c r="I67" i="4"/>
  <c r="J67" i="4"/>
  <c r="J46" i="4"/>
  <c r="I46" i="4"/>
  <c r="I25" i="4"/>
  <c r="J70" i="8"/>
  <c r="I70" i="8"/>
  <c r="H70" i="8"/>
  <c r="J46" i="8"/>
  <c r="I46" i="8"/>
  <c r="H46" i="8"/>
  <c r="H43" i="8"/>
  <c r="G43" i="8"/>
  <c r="F43" i="8"/>
  <c r="E43" i="8"/>
  <c r="I40" i="8"/>
  <c r="H40" i="8"/>
  <c r="G40" i="8"/>
  <c r="H22" i="8"/>
  <c r="J25" i="8"/>
  <c r="I25" i="8"/>
  <c r="H10" i="8"/>
  <c r="I4" i="8"/>
  <c r="H4" i="8"/>
  <c r="H64" i="4"/>
  <c r="H58" i="4"/>
  <c r="I58" i="4"/>
  <c r="H46" i="4"/>
  <c r="I43" i="4"/>
  <c r="H43" i="4"/>
  <c r="J9" i="6"/>
  <c r="H25" i="4"/>
  <c r="G25" i="8"/>
  <c r="H25" i="8"/>
  <c r="I4" i="4"/>
  <c r="H4" i="4"/>
  <c r="G43" i="4"/>
  <c r="H40" i="4"/>
  <c r="I22" i="12"/>
  <c r="K22" i="12"/>
  <c r="G22" i="12"/>
  <c r="E22" i="12"/>
  <c r="E4" i="4"/>
  <c r="D43" i="8"/>
  <c r="G22" i="8"/>
  <c r="G10" i="8"/>
  <c r="G58" i="4"/>
  <c r="E70" i="8"/>
  <c r="F70" i="8"/>
  <c r="D70" i="8"/>
  <c r="G46" i="8"/>
  <c r="F46" i="8"/>
  <c r="E46" i="8"/>
  <c r="D46" i="8"/>
  <c r="F40" i="8"/>
  <c r="E40" i="8"/>
  <c r="D40" i="8"/>
  <c r="F22" i="8"/>
  <c r="D22" i="8"/>
  <c r="E22" i="8"/>
  <c r="F25" i="8"/>
  <c r="E25" i="8"/>
  <c r="D25" i="8"/>
  <c r="G46" i="4"/>
  <c r="F46" i="4"/>
  <c r="F25" i="4"/>
  <c r="E25" i="4"/>
  <c r="D25" i="4"/>
  <c r="D67" i="4"/>
  <c r="E67" i="4"/>
  <c r="F67" i="4"/>
  <c r="G67" i="4"/>
  <c r="F58" i="4"/>
  <c r="E58" i="4"/>
  <c r="E46" i="4"/>
  <c r="D46" i="4"/>
  <c r="F43" i="4"/>
  <c r="E43" i="4"/>
  <c r="D43" i="4"/>
  <c r="G40" i="4"/>
  <c r="F40" i="4"/>
  <c r="D40" i="4"/>
  <c r="F4" i="4"/>
  <c r="G4" i="4"/>
  <c r="D4" i="4"/>
  <c r="E10" i="8"/>
  <c r="D10" i="8"/>
  <c r="E4" i="8"/>
  <c r="D4" i="8"/>
  <c r="J9" i="11"/>
  <c r="F24" i="4"/>
  <c r="E24" i="4"/>
  <c r="P18" i="8"/>
  <c r="H5" i="10" s="1"/>
  <c r="H6" i="10"/>
  <c r="G15" i="11"/>
  <c r="G14" i="11"/>
  <c r="N12" i="11"/>
  <c r="M12" i="11"/>
  <c r="L12" i="11"/>
  <c r="K12" i="11"/>
  <c r="J12" i="11"/>
  <c r="I12" i="11"/>
  <c r="H12" i="11"/>
  <c r="G12" i="11"/>
  <c r="O11" i="11"/>
  <c r="N11" i="11"/>
  <c r="M11" i="11"/>
  <c r="L11" i="11"/>
  <c r="K11" i="11"/>
  <c r="J11" i="11"/>
  <c r="I11" i="11"/>
  <c r="H11" i="11"/>
  <c r="G11" i="11"/>
  <c r="I9" i="11"/>
  <c r="G8" i="11"/>
  <c r="J8" i="11"/>
  <c r="L8" i="11"/>
  <c r="M6" i="11"/>
  <c r="L6" i="11"/>
  <c r="K6" i="11"/>
  <c r="I6" i="11"/>
  <c r="H6" i="11"/>
  <c r="L5" i="11"/>
  <c r="O5" i="11"/>
  <c r="K5" i="11"/>
  <c r="O3" i="11"/>
  <c r="N3" i="11"/>
  <c r="M3" i="11"/>
  <c r="L3" i="11"/>
  <c r="K3" i="11"/>
  <c r="J3" i="11"/>
  <c r="I3" i="11"/>
  <c r="H3" i="11"/>
  <c r="G3" i="11"/>
  <c r="F3" i="11"/>
  <c r="D3" i="11"/>
  <c r="I2" i="11"/>
  <c r="L2" i="11"/>
  <c r="M2" i="11"/>
  <c r="N2" i="11"/>
  <c r="H2" i="11"/>
  <c r="F2" i="11"/>
  <c r="J2" i="11"/>
  <c r="K2" i="11"/>
  <c r="G2" i="11"/>
  <c r="P19" i="11"/>
  <c r="P18" i="11"/>
  <c r="P17" i="11"/>
  <c r="P16" i="11"/>
  <c r="P15" i="11"/>
  <c r="P14" i="11"/>
  <c r="P12" i="11"/>
  <c r="P11" i="11"/>
  <c r="P9" i="11"/>
  <c r="P8" i="11"/>
  <c r="P6" i="11"/>
  <c r="P5" i="11"/>
  <c r="P3" i="11"/>
  <c r="P2" i="11"/>
  <c r="F24" i="8"/>
  <c r="J6" i="10"/>
  <c r="E24" i="8"/>
  <c r="P24" i="8" s="1"/>
  <c r="J5" i="10" s="1"/>
  <c r="F9" i="8"/>
  <c r="M39" i="8"/>
  <c r="L39" i="8"/>
  <c r="K39" i="8"/>
  <c r="J39" i="8"/>
  <c r="I39" i="8"/>
  <c r="H39" i="8"/>
  <c r="G39" i="8"/>
  <c r="F39" i="8"/>
  <c r="D39" i="8"/>
  <c r="E39" i="8"/>
  <c r="O39" i="8"/>
  <c r="N69" i="8"/>
  <c r="M69" i="8"/>
  <c r="L69" i="8"/>
  <c r="H8" i="8"/>
  <c r="N8" i="8"/>
  <c r="D20" i="8"/>
  <c r="P20" i="8" s="1"/>
  <c r="AB4" i="10"/>
  <c r="O9" i="8"/>
  <c r="N9" i="8"/>
  <c r="M9" i="8"/>
  <c r="L9" i="8"/>
  <c r="K9" i="8"/>
  <c r="J9" i="8"/>
  <c r="I9" i="8"/>
  <c r="H9" i="8"/>
  <c r="G9" i="8"/>
  <c r="E9" i="8"/>
  <c r="O8" i="8"/>
  <c r="M8" i="8"/>
  <c r="L8" i="8"/>
  <c r="K8" i="8"/>
  <c r="J8" i="8"/>
  <c r="I8" i="8"/>
  <c r="G8" i="8"/>
  <c r="F8" i="8"/>
  <c r="E8" i="8"/>
  <c r="D9" i="8"/>
  <c r="P9" i="8" s="1"/>
  <c r="D8" i="8"/>
  <c r="AA9" i="10"/>
  <c r="P76" i="8"/>
  <c r="AA8" i="10" s="1"/>
  <c r="P75" i="8"/>
  <c r="P74" i="8"/>
  <c r="Z9" i="10"/>
  <c r="P73" i="8"/>
  <c r="Z8" i="10" s="1"/>
  <c r="P72" i="8"/>
  <c r="P71" i="8"/>
  <c r="P68" i="8"/>
  <c r="P66" i="8"/>
  <c r="P65" i="8"/>
  <c r="W9" i="10"/>
  <c r="P63" i="8"/>
  <c r="P62" i="8"/>
  <c r="V9" i="10"/>
  <c r="P61" i="8"/>
  <c r="V8" i="10" s="1"/>
  <c r="P60" i="8"/>
  <c r="P59" i="8"/>
  <c r="U9" i="10"/>
  <c r="P58" i="8"/>
  <c r="U8" i="10" s="1"/>
  <c r="P57" i="8"/>
  <c r="P56" i="8"/>
  <c r="T9" i="10"/>
  <c r="P55" i="8"/>
  <c r="T8" i="10" s="1"/>
  <c r="P54" i="8"/>
  <c r="P53" i="8"/>
  <c r="P51" i="8"/>
  <c r="P50" i="8"/>
  <c r="P48" i="8"/>
  <c r="P47" i="8"/>
  <c r="P45" i="8"/>
  <c r="P44" i="8"/>
  <c r="P42" i="8"/>
  <c r="P41" i="8"/>
  <c r="P38" i="8"/>
  <c r="N9" i="10"/>
  <c r="P36" i="8"/>
  <c r="P35" i="8"/>
  <c r="P33" i="8"/>
  <c r="P32" i="8"/>
  <c r="P30" i="8"/>
  <c r="P29" i="8"/>
  <c r="P28" i="8"/>
  <c r="P27" i="8"/>
  <c r="P26" i="8"/>
  <c r="P21" i="8"/>
  <c r="H9" i="10"/>
  <c r="P19" i="8"/>
  <c r="H8" i="10" s="1"/>
  <c r="G9" i="10"/>
  <c r="P16" i="8"/>
  <c r="G8" i="10" s="1"/>
  <c r="G6" i="10"/>
  <c r="P15" i="8"/>
  <c r="G5" i="10" s="1"/>
  <c r="P14" i="8"/>
  <c r="P13" i="8"/>
  <c r="P12" i="8"/>
  <c r="P11" i="8"/>
  <c r="P2" i="8"/>
  <c r="C2" i="10" s="1"/>
  <c r="AB2" i="10" s="1"/>
  <c r="AB4" i="6"/>
  <c r="P8" i="4"/>
  <c r="E2" i="6" s="1"/>
  <c r="P11" i="4"/>
  <c r="F2" i="6" s="1"/>
  <c r="F3" i="6"/>
  <c r="P12" i="4"/>
  <c r="F5" i="6" s="1"/>
  <c r="P13" i="4"/>
  <c r="P14" i="4"/>
  <c r="G2" i="6" s="1"/>
  <c r="G3" i="6"/>
  <c r="P15" i="4"/>
  <c r="G5" i="6" s="1"/>
  <c r="P16" i="4"/>
  <c r="P19" i="4"/>
  <c r="P26" i="4"/>
  <c r="K2" i="6" s="1"/>
  <c r="K3" i="6"/>
  <c r="P27" i="4"/>
  <c r="K5" i="6" s="1"/>
  <c r="P28" i="4"/>
  <c r="P32" i="4"/>
  <c r="M2" i="6" s="1"/>
  <c r="M3" i="6"/>
  <c r="P33" i="4"/>
  <c r="M5" i="6" s="1"/>
  <c r="P35" i="4"/>
  <c r="N2" i="6" s="1"/>
  <c r="N3" i="6"/>
  <c r="P36" i="4"/>
  <c r="N5" i="6" s="1"/>
  <c r="P37" i="4"/>
  <c r="P47" i="4"/>
  <c r="R2" i="6" s="1"/>
  <c r="R3" i="6"/>
  <c r="P48" i="4"/>
  <c r="R5" i="6" s="1"/>
  <c r="P49" i="4"/>
  <c r="S3" i="6"/>
  <c r="P53" i="4"/>
  <c r="T2" i="6" s="1"/>
  <c r="T3" i="6"/>
  <c r="P54" i="4"/>
  <c r="T5" i="6" s="1"/>
  <c r="P55" i="4"/>
  <c r="P59" i="4"/>
  <c r="V2" i="6" s="1"/>
  <c r="P62" i="4"/>
  <c r="W2" i="6" s="1"/>
  <c r="W3" i="6"/>
  <c r="P63" i="4"/>
  <c r="P64" i="4"/>
  <c r="W8" i="6" s="1"/>
  <c r="W9" i="6"/>
  <c r="P68" i="4"/>
  <c r="Y2" i="6" s="1"/>
  <c r="Y3" i="6"/>
  <c r="P69" i="4"/>
  <c r="Y5" i="6" s="1"/>
  <c r="P71" i="4"/>
  <c r="Z2" i="6" s="1"/>
  <c r="Z3" i="6"/>
  <c r="P72" i="4"/>
  <c r="Z5" i="6" s="1"/>
  <c r="P73" i="4"/>
  <c r="P74" i="4"/>
  <c r="AA2" i="6" s="1"/>
  <c r="AA3" i="6"/>
  <c r="P75" i="4"/>
  <c r="AA5" i="6" s="1"/>
  <c r="P76" i="4"/>
  <c r="O42" i="4"/>
  <c r="D44" i="4"/>
  <c r="E44" i="4"/>
  <c r="F44" i="4"/>
  <c r="G44" i="4"/>
  <c r="H44" i="4"/>
  <c r="I44" i="4"/>
  <c r="J44" i="4"/>
  <c r="K44" i="4"/>
  <c r="L44" i="4"/>
  <c r="M44" i="4"/>
  <c r="N44" i="4"/>
  <c r="O44" i="4"/>
  <c r="D45" i="4"/>
  <c r="E45" i="4"/>
  <c r="F45" i="4"/>
  <c r="G45" i="4"/>
  <c r="H45" i="4"/>
  <c r="I45" i="4"/>
  <c r="J45" i="4"/>
  <c r="K45" i="4"/>
  <c r="L45" i="4"/>
  <c r="M45" i="4"/>
  <c r="N45" i="4"/>
  <c r="O45" i="4"/>
  <c r="O30" i="4"/>
  <c r="N30" i="4"/>
  <c r="M30" i="4"/>
  <c r="L30" i="4"/>
  <c r="K30" i="4"/>
  <c r="J30" i="4"/>
  <c r="I30" i="4"/>
  <c r="N21" i="4"/>
  <c r="H21" i="4"/>
  <c r="G21" i="4"/>
  <c r="N66" i="4"/>
  <c r="M66" i="4"/>
  <c r="H66" i="4"/>
  <c r="E66" i="4"/>
  <c r="G66" i="4"/>
  <c r="F66" i="4"/>
  <c r="X3" i="6"/>
  <c r="D65" i="4"/>
  <c r="P65" i="4" s="1"/>
  <c r="X2" i="6" s="1"/>
  <c r="G60" i="4"/>
  <c r="P60" i="4" s="1"/>
  <c r="D58" i="4"/>
  <c r="J57" i="4"/>
  <c r="D56" i="4"/>
  <c r="P56" i="4" s="1"/>
  <c r="U2" i="6" s="1"/>
  <c r="N51" i="4"/>
  <c r="M51" i="4"/>
  <c r="L51" i="4"/>
  <c r="K51" i="4"/>
  <c r="J51" i="4"/>
  <c r="I51" i="4"/>
  <c r="H51" i="4"/>
  <c r="G51" i="4"/>
  <c r="F51" i="4"/>
  <c r="E51" i="4"/>
  <c r="D51" i="4"/>
  <c r="K50" i="4"/>
  <c r="E50" i="4"/>
  <c r="D50" i="4"/>
  <c r="D42" i="4"/>
  <c r="N42" i="4"/>
  <c r="M42" i="4"/>
  <c r="L42" i="4"/>
  <c r="K42" i="4"/>
  <c r="J42" i="4"/>
  <c r="I42" i="4"/>
  <c r="H42" i="4"/>
  <c r="G42" i="4"/>
  <c r="F42" i="4"/>
  <c r="E42" i="4"/>
  <c r="O41" i="4"/>
  <c r="N41" i="4"/>
  <c r="M41" i="4"/>
  <c r="L41" i="4"/>
  <c r="K41" i="4"/>
  <c r="J41" i="4"/>
  <c r="I41" i="4"/>
  <c r="H41" i="4"/>
  <c r="E41" i="4"/>
  <c r="P3" i="6"/>
  <c r="G41" i="4"/>
  <c r="F41" i="4"/>
  <c r="D41" i="4"/>
  <c r="O38" i="4"/>
  <c r="N38" i="4"/>
  <c r="P38" i="4" s="1"/>
  <c r="O2" i="6" s="1"/>
  <c r="K3" i="4"/>
  <c r="N3" i="4"/>
  <c r="O3" i="4"/>
  <c r="D5" i="4"/>
  <c r="O6" i="4"/>
  <c r="J29" i="4"/>
  <c r="O29" i="4"/>
  <c r="N29" i="4"/>
  <c r="M29" i="4"/>
  <c r="L29" i="4"/>
  <c r="K29" i="4"/>
  <c r="G29" i="4"/>
  <c r="F29" i="4"/>
  <c r="E29" i="4"/>
  <c r="L3" i="6"/>
  <c r="D29" i="4"/>
  <c r="P29" i="4" s="1"/>
  <c r="L2" i="6" s="1"/>
  <c r="H30" i="4"/>
  <c r="O24" i="4"/>
  <c r="N24" i="4"/>
  <c r="M24" i="4"/>
  <c r="L24" i="4"/>
  <c r="K24" i="4"/>
  <c r="H24" i="4"/>
  <c r="D24" i="4"/>
  <c r="O23" i="4"/>
  <c r="K23" i="4"/>
  <c r="O9" i="4"/>
  <c r="J3" i="6"/>
  <c r="M21" i="4"/>
  <c r="L21" i="4"/>
  <c r="K21" i="4"/>
  <c r="J21" i="4"/>
  <c r="I21" i="4"/>
  <c r="F21" i="4"/>
  <c r="E21" i="4"/>
  <c r="D21" i="4"/>
  <c r="I3" i="6"/>
  <c r="G20" i="4"/>
  <c r="P20" i="4" s="1"/>
  <c r="I2" i="6" s="1"/>
  <c r="H17" i="4"/>
  <c r="G17" i="4"/>
  <c r="F17" i="4"/>
  <c r="H3" i="6"/>
  <c r="O51" i="4"/>
  <c r="P2" i="4"/>
  <c r="C2" i="6" s="1"/>
  <c r="O57" i="4"/>
  <c r="D3" i="6"/>
  <c r="J6" i="4"/>
  <c r="K6" i="4"/>
  <c r="L6" i="4"/>
  <c r="N6" i="4"/>
  <c r="D6" i="4"/>
  <c r="O66" i="4"/>
  <c r="N57" i="4"/>
  <c r="M57" i="4"/>
  <c r="N39" i="4"/>
  <c r="O39" i="4"/>
  <c r="N9" i="4"/>
  <c r="M9" i="4"/>
  <c r="I6" i="4"/>
  <c r="H6" i="4"/>
  <c r="G6" i="4"/>
  <c r="F6" i="4"/>
  <c r="E6" i="4"/>
  <c r="L66" i="4"/>
  <c r="K66" i="4"/>
  <c r="J66" i="4"/>
  <c r="I66" i="4"/>
  <c r="D66" i="4"/>
  <c r="L57" i="4"/>
  <c r="K57" i="4"/>
  <c r="I57" i="4"/>
  <c r="H57" i="4"/>
  <c r="G57" i="4"/>
  <c r="F57" i="4"/>
  <c r="E57" i="4"/>
  <c r="D57" i="4"/>
  <c r="K39" i="4"/>
  <c r="J39" i="4"/>
  <c r="I39" i="4"/>
  <c r="H39" i="4"/>
  <c r="G39" i="4"/>
  <c r="F39" i="4"/>
  <c r="E39" i="4"/>
  <c r="D39" i="4"/>
  <c r="P39" i="4" s="1"/>
  <c r="O5" i="6" s="1"/>
  <c r="G30" i="4"/>
  <c r="F30" i="4"/>
  <c r="E30" i="4"/>
  <c r="D30" i="4"/>
  <c r="J24" i="4"/>
  <c r="I24" i="4"/>
  <c r="G24" i="4"/>
  <c r="L9" i="4"/>
  <c r="K9" i="4"/>
  <c r="J9" i="4"/>
  <c r="H9" i="4"/>
  <c r="G9" i="4"/>
  <c r="F9" i="4"/>
  <c r="E9" i="4"/>
  <c r="P50" i="4" l="1"/>
  <c r="S2" i="6" s="1"/>
  <c r="P41" i="4"/>
  <c r="P2" i="6" s="1"/>
  <c r="U3" i="6"/>
  <c r="P66" i="4"/>
  <c r="P30" i="4"/>
  <c r="P40" i="4"/>
  <c r="P61" i="4"/>
  <c r="P9" i="4"/>
  <c r="P70" i="4"/>
  <c r="P67" i="4"/>
  <c r="P22" i="4"/>
  <c r="Q9" i="6"/>
  <c r="P46" i="4"/>
  <c r="Q8" i="6" s="1"/>
  <c r="P25" i="4"/>
  <c r="J8" i="6" s="1"/>
  <c r="P43" i="4"/>
  <c r="P8" i="6" s="1"/>
  <c r="P58" i="4"/>
  <c r="P21" i="4"/>
  <c r="P57" i="4"/>
  <c r="E3" i="6"/>
  <c r="P4" i="4"/>
  <c r="C8" i="6" s="1"/>
  <c r="P46" i="8"/>
  <c r="P5" i="8"/>
  <c r="Q6" i="8" s="1"/>
  <c r="P70" i="8"/>
  <c r="Y8" i="10" s="1"/>
  <c r="P67" i="8"/>
  <c r="P43" i="8"/>
  <c r="P8" i="8"/>
  <c r="Q9" i="8" s="1"/>
  <c r="P40" i="8"/>
  <c r="P22" i="8"/>
  <c r="P25" i="8"/>
  <c r="P10" i="8"/>
  <c r="P39" i="8"/>
  <c r="Q39" i="8" s="1"/>
  <c r="P69" i="8"/>
  <c r="P31" i="16"/>
  <c r="P30" i="16"/>
  <c r="D27" i="16"/>
  <c r="P27" i="16" s="1"/>
  <c r="P3" i="16"/>
  <c r="K28" i="16"/>
  <c r="P4" i="16"/>
  <c r="Q4" i="16" s="1"/>
  <c r="D29" i="16"/>
  <c r="P29" i="16" s="1"/>
  <c r="Q29" i="16" s="1"/>
  <c r="P5" i="16"/>
  <c r="Q5" i="16" s="1"/>
  <c r="D30" i="16"/>
  <c r="P6" i="16"/>
  <c r="Q6" i="16" s="1"/>
  <c r="D31" i="16"/>
  <c r="P7" i="16"/>
  <c r="Q7" i="16" s="1"/>
  <c r="D26" i="16"/>
  <c r="S30" i="16" s="1"/>
  <c r="P8" i="16"/>
  <c r="D28" i="16"/>
  <c r="P28" i="16" s="1"/>
  <c r="P10" i="16"/>
  <c r="Q10" i="16" s="1"/>
  <c r="Q11" i="16"/>
  <c r="Q12" i="16"/>
  <c r="Q13" i="16"/>
  <c r="Q16" i="16"/>
  <c r="Q17" i="16"/>
  <c r="Q18" i="16"/>
  <c r="Q19" i="16"/>
  <c r="Q22" i="16"/>
  <c r="Q23" i="16"/>
  <c r="Q24" i="16"/>
  <c r="Q25" i="16"/>
  <c r="P6" i="4"/>
  <c r="C3" i="6"/>
  <c r="AB3" i="6" s="1"/>
  <c r="C6" i="6"/>
  <c r="D6" i="6"/>
  <c r="E6" i="6"/>
  <c r="P17" i="4"/>
  <c r="H2" i="6" s="1"/>
  <c r="I6" i="6"/>
  <c r="P23" i="4"/>
  <c r="J2" i="6" s="1"/>
  <c r="P24" i="4"/>
  <c r="P5" i="4"/>
  <c r="D2" i="6" s="1"/>
  <c r="P3" i="4"/>
  <c r="O6" i="6"/>
  <c r="P42" i="4"/>
  <c r="P51" i="4"/>
  <c r="Q52" i="4" s="1"/>
  <c r="X6" i="6"/>
  <c r="C9" i="6"/>
  <c r="AB9" i="6" s="1"/>
  <c r="P7" i="4"/>
  <c r="P45" i="4"/>
  <c r="P44" i="4"/>
  <c r="Q2" i="6" s="1"/>
  <c r="Q3" i="6"/>
  <c r="AA6" i="6"/>
  <c r="Y6" i="6"/>
  <c r="T6" i="6"/>
  <c r="S9" i="6"/>
  <c r="S8" i="6"/>
  <c r="S6" i="6"/>
  <c r="R6" i="6"/>
  <c r="N6" i="6"/>
  <c r="M9" i="6"/>
  <c r="M8" i="6"/>
  <c r="Q34" i="4"/>
  <c r="M6" i="6"/>
  <c r="K9" i="6"/>
  <c r="K8" i="6"/>
  <c r="Q28" i="4"/>
  <c r="K6" i="6"/>
  <c r="G6" i="6"/>
  <c r="F9" i="6"/>
  <c r="F8" i="6"/>
  <c r="Q13" i="4"/>
  <c r="F6" i="6"/>
  <c r="Z6" i="6"/>
  <c r="AA9" i="6"/>
  <c r="AA8" i="6"/>
  <c r="Q76" i="4"/>
  <c r="Z9" i="6"/>
  <c r="Z8" i="6"/>
  <c r="Q73" i="4"/>
  <c r="T9" i="6"/>
  <c r="T8" i="6"/>
  <c r="Q55" i="4"/>
  <c r="R9" i="6"/>
  <c r="R8" i="6"/>
  <c r="Q49" i="4"/>
  <c r="N9" i="6"/>
  <c r="N8" i="6"/>
  <c r="Q37" i="4"/>
  <c r="L9" i="6"/>
  <c r="L8" i="6"/>
  <c r="I9" i="6"/>
  <c r="O18" i="4"/>
  <c r="H6" i="6"/>
  <c r="H9" i="6"/>
  <c r="H8" i="6"/>
  <c r="G9" i="6"/>
  <c r="G8" i="6"/>
  <c r="Q16" i="4"/>
  <c r="E9" i="6"/>
  <c r="E8" i="6"/>
  <c r="D9" i="6"/>
  <c r="J6" i="6"/>
  <c r="Q3" i="11"/>
  <c r="Q9" i="11"/>
  <c r="Q10" i="11"/>
  <c r="Q12" i="11"/>
  <c r="Q13" i="11"/>
  <c r="Q15" i="11"/>
  <c r="Q16" i="11"/>
  <c r="Q18" i="11"/>
  <c r="Q19" i="11"/>
  <c r="C3" i="10"/>
  <c r="AB3" i="10" s="1"/>
  <c r="P3" i="8"/>
  <c r="P4" i="8"/>
  <c r="Q12" i="8"/>
  <c r="Q13" i="8"/>
  <c r="Q15" i="8"/>
  <c r="Q16" i="8"/>
  <c r="P17" i="8"/>
  <c r="Q21" i="8"/>
  <c r="P23" i="8"/>
  <c r="Q24" i="8" s="1"/>
  <c r="Q27" i="8"/>
  <c r="Q28" i="8"/>
  <c r="Q30" i="8"/>
  <c r="Q31" i="8"/>
  <c r="Q33" i="8"/>
  <c r="Q34" i="8"/>
  <c r="Q36" i="8"/>
  <c r="Q37" i="8"/>
  <c r="Q42" i="8"/>
  <c r="Q45" i="8"/>
  <c r="Q48" i="8"/>
  <c r="Q49" i="8"/>
  <c r="Q51" i="8"/>
  <c r="Q52" i="8"/>
  <c r="Q54" i="8"/>
  <c r="Q55" i="8"/>
  <c r="Q57" i="8"/>
  <c r="Q58" i="8"/>
  <c r="Q60" i="8"/>
  <c r="Q61" i="8"/>
  <c r="Q63" i="8"/>
  <c r="Q64" i="8"/>
  <c r="Q66" i="8"/>
  <c r="Q72" i="8"/>
  <c r="Q73" i="8"/>
  <c r="Q75" i="8"/>
  <c r="Q76" i="8"/>
  <c r="W6" i="6"/>
  <c r="W5" i="6"/>
  <c r="Q64" i="4"/>
  <c r="V6" i="6"/>
  <c r="V5" i="6"/>
  <c r="Q12" i="4"/>
  <c r="Q15" i="4"/>
  <c r="Q27" i="4"/>
  <c r="Q33" i="4"/>
  <c r="Q36" i="4"/>
  <c r="Q39" i="4"/>
  <c r="Q48" i="4"/>
  <c r="Q54" i="4"/>
  <c r="Q60" i="4"/>
  <c r="Q63" i="4"/>
  <c r="Q72" i="4"/>
  <c r="Q75" i="4"/>
  <c r="X5" i="6" l="1"/>
  <c r="Q66" i="4"/>
  <c r="L5" i="6"/>
  <c r="Q31" i="4"/>
  <c r="Q30" i="4"/>
  <c r="AB2" i="6"/>
  <c r="O8" i="6"/>
  <c r="Q40" i="4"/>
  <c r="V8" i="6"/>
  <c r="Q61" i="4"/>
  <c r="V9" i="6"/>
  <c r="P6" i="6"/>
  <c r="E5" i="6"/>
  <c r="Q9" i="4"/>
  <c r="Q10" i="4"/>
  <c r="Y9" i="6"/>
  <c r="Y8" i="6"/>
  <c r="Q70" i="4"/>
  <c r="X9" i="6"/>
  <c r="X8" i="6"/>
  <c r="Q67" i="4"/>
  <c r="O3" i="6"/>
  <c r="U6" i="6"/>
  <c r="Q21" i="4"/>
  <c r="I5" i="6"/>
  <c r="I8" i="6"/>
  <c r="Q22" i="4"/>
  <c r="U9" i="6"/>
  <c r="P9" i="6"/>
  <c r="O9" i="6"/>
  <c r="V3" i="6"/>
  <c r="U8" i="6"/>
  <c r="Q58" i="4"/>
  <c r="U5" i="6"/>
  <c r="Q57" i="4"/>
  <c r="J5" i="6"/>
  <c r="Q25" i="4"/>
  <c r="Q24" i="4"/>
  <c r="C5" i="6"/>
  <c r="Q4" i="4"/>
  <c r="P5" i="6"/>
  <c r="Q43" i="4"/>
  <c r="Q42" i="4"/>
  <c r="D8" i="6"/>
  <c r="Q7" i="4"/>
  <c r="Q5" i="6"/>
  <c r="Q46" i="4"/>
  <c r="Q45" i="4"/>
  <c r="P18" i="4"/>
  <c r="Q9" i="10"/>
  <c r="Q8" i="10"/>
  <c r="Q46" i="8"/>
  <c r="Y9" i="10"/>
  <c r="X8" i="10"/>
  <c r="Q67" i="8"/>
  <c r="X9" i="10"/>
  <c r="P9" i="10"/>
  <c r="P8" i="10"/>
  <c r="Q43" i="8"/>
  <c r="O9" i="10"/>
  <c r="O8" i="10"/>
  <c r="Q40" i="8"/>
  <c r="I8" i="10"/>
  <c r="Q22" i="8"/>
  <c r="I9" i="10"/>
  <c r="J8" i="10"/>
  <c r="Q25" i="8"/>
  <c r="J9" i="10"/>
  <c r="D9" i="10"/>
  <c r="E9" i="10"/>
  <c r="E8" i="10"/>
  <c r="Q10" i="8"/>
  <c r="D6" i="10"/>
  <c r="Q69" i="8"/>
  <c r="Q70" i="8"/>
  <c r="P26" i="16"/>
  <c r="D5" i="10"/>
  <c r="R31" i="16"/>
  <c r="Q28" i="16"/>
  <c r="Q30" i="16"/>
  <c r="Q31" i="16"/>
  <c r="C9" i="10"/>
  <c r="Q4" i="8"/>
  <c r="C8" i="10"/>
  <c r="Q6" i="6"/>
  <c r="L6" i="6"/>
  <c r="S5" i="6"/>
  <c r="Q51" i="4"/>
  <c r="Q3" i="4"/>
  <c r="AB6" i="6"/>
  <c r="D5" i="6"/>
  <c r="Q6" i="4"/>
  <c r="C6" i="10"/>
  <c r="AB6" i="10" s="1"/>
  <c r="Q3" i="8"/>
  <c r="C5" i="10"/>
  <c r="Q69" i="4"/>
  <c r="AB8" i="6" l="1"/>
  <c r="Q18" i="4"/>
  <c r="Q19" i="4"/>
  <c r="H5" i="6"/>
  <c r="AB5" i="6" s="1"/>
  <c r="AB5" i="10"/>
  <c r="Q18" i="8"/>
  <c r="Q19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tc={B848D979-3078-4D10-B958-C6EDA0A3FB74}</author>
    <author>tc={98397277-D09C-4203-9A66-4A494E691EF5}</author>
    <author>tc={EBD72F3C-2E41-4505-AA93-824B092EF6A0}</author>
  </authors>
  <commentList>
    <comment ref="G29" authorId="0" shapeId="0" xr:uid="{B848D979-3078-4D10-B958-C6EDA0A3FB74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Prorrateo al mes siguiente. Se cobró el mes de julio
</t>
      </text>
    </comment>
    <comment ref="H29" authorId="1" shapeId="0" xr:uid="{98397277-D09C-4203-9A66-4A494E691EF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modalidad de simplificación, sin consumo</t>
      </text>
    </comment>
    <comment ref="I29" authorId="2" shapeId="0" xr:uid="{EBD72F3C-2E41-4505-AA93-824B092EF6A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modalidad de simplificación, sin consumo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tc={0A440A8D-6E33-4D38-8C46-14E8F0860D5A}</author>
    <author>tc={2FE3CB7C-9C43-47BA-86A1-EE0CA436D2EB}</author>
    <author>tc={9C8966D6-A495-434A-8DE4-2FBF5F5211A7}</author>
    <author>tc={E514B3B3-4C19-45EE-BC3D-59A5506447DD}</author>
  </authors>
  <commentList>
    <comment ref="N2" authorId="0" shapeId="0" xr:uid="{0A440A8D-6E33-4D38-8C46-14E8F0860D5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193+109=302</t>
      </text>
    </comment>
    <comment ref="O2" authorId="1" shapeId="0" xr:uid="{2FE3CB7C-9C43-47BA-86A1-EE0CA436D2EB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64+78=142 </t>
      </text>
    </comment>
    <comment ref="O3" authorId="2" shapeId="0" xr:uid="{9C8966D6-A495-434A-8DE4-2FBF5F5211A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Total a pagar en ambas boletas: $0 CLP¨por reajuste.</t>
      </text>
    </comment>
    <comment ref="N20" authorId="3" shapeId="0" xr:uid="{E514B3B3-4C19-45EE-BC3D-59A5506447D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Original 1050 Nov y 1443 Dic. Se modifican con el promedio anual 2023 con el fin de no alterar tanto las barras del gráfico.</t>
      </text>
    </comment>
  </commentList>
</comments>
</file>

<file path=xl/sharedStrings.xml><?xml version="1.0" encoding="utf-8"?>
<sst xmlns="http://schemas.openxmlformats.org/spreadsheetml/2006/main" count="577" uniqueCount="72">
  <si>
    <t>Sede</t>
  </si>
  <si>
    <t>Año</t>
  </si>
  <si>
    <t>Consumos y costos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</si>
  <si>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</si>
  <si>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</si>
  <si>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</si>
  <si>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</si>
  <si>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</si>
  <si>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</si>
  <si>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</si>
  <si>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</si>
  <si>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</si>
  <si>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</si>
  <si>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</si>
  <si>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</si>
  <si>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</si>
  <si>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Var %</t>
  </si>
  <si>
    <t>Antofagasta</t>
  </si>
  <si>
    <t>Consumo (m3)</t>
  </si>
  <si>
    <t>-</t>
  </si>
  <si>
    <t>Costo ($CLP)</t>
  </si>
  <si>
    <t>Barrio Universitario</t>
  </si>
  <si>
    <t xml:space="preserve"> </t>
  </si>
  <si>
    <t>Bellavista</t>
  </si>
  <si>
    <t>Calama</t>
  </si>
  <si>
    <t>Castro</t>
  </si>
  <si>
    <t>Chillán</t>
  </si>
  <si>
    <t>Concepción</t>
  </si>
  <si>
    <t>Curicó</t>
  </si>
  <si>
    <t>La Serena</t>
  </si>
  <si>
    <t>Los Ángeles</t>
  </si>
  <si>
    <t>Maipú</t>
  </si>
  <si>
    <t>Nivel Central</t>
  </si>
  <si>
    <t>Osorno</t>
  </si>
  <si>
    <t>Puerto Montt</t>
  </si>
  <si>
    <t>Rancagua</t>
  </si>
  <si>
    <t>San Antonio</t>
  </si>
  <si>
    <t>San Bernardo</t>
  </si>
  <si>
    <t>San Felipe</t>
  </si>
  <si>
    <t>San Fernando</t>
  </si>
  <si>
    <t>San Joaquín</t>
  </si>
  <si>
    <t>Stgo Norte</t>
  </si>
  <si>
    <t>Talca</t>
  </si>
  <si>
    <t>Temuco</t>
  </si>
  <si>
    <t>Valparaíso</t>
  </si>
  <si>
    <t>Viña del Mar</t>
  </si>
  <si>
    <t>Total Institucional</t>
  </si>
  <si>
    <t>Población</t>
  </si>
  <si>
    <t>Consumo (kWh)</t>
  </si>
  <si>
    <t>ACUM 2024</t>
  </si>
  <si>
    <t>ACUM 2023</t>
  </si>
  <si>
    <t>Dirección de empalme</t>
  </si>
  <si>
    <t>Potencia Instalada (kW)</t>
  </si>
  <si>
    <t>Tipo de Tarifa</t>
  </si>
  <si>
    <t>N° de cliente</t>
  </si>
  <si>
    <t>Distribuidor de energía</t>
  </si>
  <si>
    <t>Ejército 49; </t>
  </si>
  <si>
    <t>AT4.3  </t>
  </si>
  <si>
    <t>2789110-1</t>
  </si>
  <si>
    <t>ENEL</t>
  </si>
  <si>
    <t>Bellavista 103</t>
  </si>
  <si>
    <t>ATP</t>
  </si>
  <si>
    <t>2867823-1</t>
  </si>
  <si>
    <t>Av. Bernardo O'Higgins 360</t>
  </si>
  <si>
    <t>AT4.3</t>
  </si>
  <si>
    <t>CGE</t>
  </si>
  <si>
    <t>Angol 470</t>
  </si>
  <si>
    <t>BT3</t>
  </si>
  <si>
    <t>Álvarez 860</t>
  </si>
  <si>
    <t>BT4.3</t>
  </si>
  <si>
    <t>Mes</t>
  </si>
  <si>
    <t>Total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</si>
</sst>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6" formatCode="_-[$$-409]* #,##0_ ;_-[$$-409]* \-#,##0\ ;_-[$$-409]* &quot;-&quot;??_ ;_-@_ "/>
    <numFmt numFmtId="168" formatCode="_-* #,##0.00_-;\-* #,##0.00_-;_-* &quot;-&quot;_-;_-@_-"/>
  </numFmts>
  <fonts count="12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theme="1"/>
      <name val="Aptos Narrow"/>
      <family val="2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2"/>
      <color rgb="FF000000"/>
      <name val="Aptos"/>
      <family val="2"/>
    </font>
    <font>
      <b/>
      <sz val="12"/>
      <color rgb="FFFFFFFF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sz val="11"/>
      <color rgb="FF000000"/>
      <name val="Aptos Narrow"/>
      <family val="2"/>
    </font>
    <font>
      <sz val="11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186C2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96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/>
    </xf>
    <xf numFmtId="0" fontId="0" fillId="5" borderId="37" xfId="0" applyFill="1" applyBorder="1"/>
    <xf numFmtId="0" fontId="0" fillId="5" borderId="41" xfId="0" applyFill="1" applyBorder="1"/>
    <xf numFmtId="0" fontId="0" fillId="5" borderId="20" xfId="0" applyFill="1" applyBorder="1"/>
    <xf numFmtId="0" fontId="0" fillId="5" borderId="29" xfId="0" applyFill="1" applyBorder="1"/>
    <xf numFmtId="0" fontId="0" fillId="5" borderId="15" xfId="0" applyFill="1" applyBorder="1"/>
    <xf numFmtId="0" fontId="0" fillId="5" borderId="12" xfId="0" applyFill="1" applyBorder="1"/>
    <xf numFmtId="0" fontId="0" fillId="5" borderId="25" xfId="0" applyFill="1" applyBorder="1"/>
    <xf numFmtId="0" fontId="0" fillId="5" borderId="36" xfId="0" applyFill="1" applyBorder="1"/>
    <xf numFmtId="0" fontId="0" fillId="5" borderId="28" xfId="0" applyFill="1" applyBorder="1"/>
    <xf numFmtId="164" fontId="4" fillId="5" borderId="4" xfId="1" applyFont="1" applyFill="1" applyBorder="1" applyAlignment="1">
      <alignment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5" borderId="1" xfId="0" applyFill="1" applyBorder="1"/>
    <xf numFmtId="166" fontId="0" fillId="5" borderId="1" xfId="0" applyNumberFormat="1" applyFill="1" applyBorder="1"/>
    <xf numFmtId="0" fontId="0" fillId="5" borderId="3" xfId="0" applyFill="1" applyBorder="1"/>
    <xf numFmtId="0" fontId="0" fillId="5" borderId="4" xfId="0" applyFill="1" applyBorder="1"/>
    <xf numFmtId="1" fontId="0" fillId="4" borderId="5" xfId="0" applyNumberFormat="1" applyFill="1" applyBorder="1"/>
    <xf numFmtId="166" fontId="0" fillId="5" borderId="23" xfId="0" applyNumberFormat="1" applyFill="1" applyBorder="1"/>
    <xf numFmtId="166" fontId="0" fillId="5" borderId="24" xfId="0" applyNumberFormat="1" applyFill="1" applyBorder="1"/>
    <xf numFmtId="166" fontId="0" fillId="4" borderId="6" xfId="0" applyNumberFormat="1" applyFill="1" applyBorder="1"/>
    <xf numFmtId="166" fontId="0" fillId="5" borderId="7" xfId="0" applyNumberFormat="1" applyFill="1" applyBorder="1"/>
    <xf numFmtId="166" fontId="0" fillId="5" borderId="2" xfId="0" applyNumberFormat="1" applyFill="1" applyBorder="1"/>
    <xf numFmtId="164" fontId="4" fillId="5" borderId="3" xfId="1" applyFont="1" applyFill="1" applyBorder="1" applyAlignment="1">
      <alignment wrapText="1"/>
    </xf>
    <xf numFmtId="166" fontId="4" fillId="5" borderId="7" xfId="1" applyNumberFormat="1" applyFont="1" applyFill="1" applyBorder="1" applyAlignment="1">
      <alignment wrapText="1"/>
    </xf>
    <xf numFmtId="166" fontId="4" fillId="5" borderId="2" xfId="1" applyNumberFormat="1" applyFont="1" applyFill="1" applyBorder="1" applyAlignment="1">
      <alignment wrapText="1"/>
    </xf>
    <xf numFmtId="0" fontId="2" fillId="5" borderId="9" xfId="0" applyFont="1" applyFill="1" applyBorder="1" applyAlignment="1">
      <alignment wrapText="1" readingOrder="1"/>
    </xf>
    <xf numFmtId="0" fontId="2" fillId="5" borderId="4" xfId="0" applyFont="1" applyFill="1" applyBorder="1" applyAlignment="1">
      <alignment wrapText="1" readingOrder="1"/>
    </xf>
    <xf numFmtId="0" fontId="0" fillId="5" borderId="23" xfId="0" applyFill="1" applyBorder="1"/>
    <xf numFmtId="0" fontId="0" fillId="5" borderId="35" xfId="0" applyFill="1" applyBorder="1"/>
    <xf numFmtId="0" fontId="0" fillId="5" borderId="30" xfId="0" applyFill="1" applyBorder="1"/>
    <xf numFmtId="166" fontId="0" fillId="5" borderId="24" xfId="0" applyNumberFormat="1" applyFill="1" applyBorder="1" applyAlignment="1">
      <alignment wrapText="1"/>
    </xf>
    <xf numFmtId="0" fontId="0" fillId="5" borderId="11" xfId="0" applyFill="1" applyBorder="1"/>
    <xf numFmtId="0" fontId="0" fillId="5" borderId="9" xfId="0" applyFill="1" applyBorder="1"/>
    <xf numFmtId="1" fontId="0" fillId="4" borderId="3" xfId="0" applyNumberFormat="1" applyFill="1" applyBorder="1"/>
    <xf numFmtId="1" fontId="0" fillId="4" borderId="4" xfId="0" applyNumberFormat="1" applyFill="1" applyBorder="1"/>
    <xf numFmtId="1" fontId="0" fillId="4" borderId="42" xfId="0" applyNumberFormat="1" applyFill="1" applyBorder="1"/>
    <xf numFmtId="1" fontId="5" fillId="4" borderId="5" xfId="0" applyNumberFormat="1" applyFont="1" applyFill="1" applyBorder="1"/>
    <xf numFmtId="166" fontId="0" fillId="4" borderId="23" xfId="0" applyNumberFormat="1" applyFill="1" applyBorder="1"/>
    <xf numFmtId="166" fontId="0" fillId="4" borderId="24" xfId="0" applyNumberFormat="1" applyFill="1" applyBorder="1"/>
    <xf numFmtId="166" fontId="5" fillId="4" borderId="6" xfId="0" applyNumberFormat="1" applyFont="1" applyFill="1" applyBorder="1"/>
    <xf numFmtId="1" fontId="5" fillId="4" borderId="18" xfId="0" applyNumberFormat="1" applyFont="1" applyFill="1" applyBorder="1"/>
    <xf numFmtId="166" fontId="0" fillId="4" borderId="7" xfId="0" applyNumberFormat="1" applyFill="1" applyBorder="1"/>
    <xf numFmtId="166" fontId="0" fillId="4" borderId="2" xfId="0" applyNumberFormat="1" applyFill="1" applyBorder="1"/>
    <xf numFmtId="166" fontId="0" fillId="4" borderId="14" xfId="0" applyNumberFormat="1" applyFill="1" applyBorder="1"/>
    <xf numFmtId="166" fontId="5" fillId="4" borderId="8" xfId="0" applyNumberFormat="1" applyFont="1" applyFill="1" applyBorder="1"/>
    <xf numFmtId="164" fontId="0" fillId="4" borderId="17" xfId="0" applyNumberFormat="1" applyFill="1" applyBorder="1"/>
    <xf numFmtId="164" fontId="0" fillId="4" borderId="16" xfId="0" applyNumberFormat="1" applyFill="1" applyBorder="1"/>
    <xf numFmtId="10" fontId="0" fillId="2" borderId="31" xfId="0" applyNumberFormat="1" applyFill="1" applyBorder="1" applyAlignment="1">
      <alignment horizontal="right" vertical="center"/>
    </xf>
    <xf numFmtId="10" fontId="0" fillId="2" borderId="32" xfId="0" applyNumberFormat="1" applyFill="1" applyBorder="1" applyAlignment="1">
      <alignment horizontal="right" vertical="center"/>
    </xf>
    <xf numFmtId="10" fontId="0" fillId="2" borderId="21" xfId="0" applyNumberFormat="1" applyFill="1" applyBorder="1" applyAlignment="1">
      <alignment horizontal="right" vertical="center"/>
    </xf>
    <xf numFmtId="10" fontId="0" fillId="2" borderId="38" xfId="0" applyNumberFormat="1" applyFill="1" applyBorder="1" applyAlignment="1">
      <alignment horizontal="right" vertical="center"/>
    </xf>
    <xf numFmtId="10" fontId="0" fillId="2" borderId="22" xfId="0" applyNumberFormat="1" applyFill="1" applyBorder="1" applyAlignment="1">
      <alignment horizontal="right" vertical="center"/>
    </xf>
    <xf numFmtId="0" fontId="6" fillId="3" borderId="33" xfId="0" applyFont="1" applyFill="1" applyBorder="1" applyAlignment="1">
      <alignment horizontal="center" vertical="center" wrapText="1"/>
    </xf>
    <xf numFmtId="1" fontId="0" fillId="5" borderId="4" xfId="0" applyNumberFormat="1" applyFill="1" applyBorder="1"/>
    <xf numFmtId="1" fontId="0" fillId="5" borderId="5" xfId="0" applyNumberFormat="1" applyFill="1" applyBorder="1"/>
    <xf numFmtId="0" fontId="0" fillId="5" borderId="43" xfId="0" applyFill="1" applyBorder="1"/>
    <xf numFmtId="166" fontId="0" fillId="5" borderId="44" xfId="0" applyNumberFormat="1" applyFill="1" applyBorder="1"/>
    <xf numFmtId="0" fontId="0" fillId="5" borderId="24" xfId="0" applyFill="1" applyBorder="1"/>
    <xf numFmtId="166" fontId="0" fillId="5" borderId="6" xfId="0" applyNumberFormat="1" applyFill="1" applyBorder="1"/>
    <xf numFmtId="0" fontId="0" fillId="5" borderId="16" xfId="0" applyFill="1" applyBorder="1"/>
    <xf numFmtId="1" fontId="0" fillId="5" borderId="16" xfId="0" applyNumberFormat="1" applyFill="1" applyBorder="1"/>
    <xf numFmtId="0" fontId="0" fillId="5" borderId="7" xfId="0" applyFill="1" applyBorder="1"/>
    <xf numFmtId="0" fontId="0" fillId="5" borderId="2" xfId="0" applyFill="1" applyBorder="1"/>
    <xf numFmtId="1" fontId="0" fillId="5" borderId="8" xfId="0" applyNumberFormat="1" applyFill="1" applyBorder="1"/>
    <xf numFmtId="0" fontId="0" fillId="5" borderId="4" xfId="0" applyFill="1" applyBorder="1" applyAlignment="1">
      <alignment wrapText="1"/>
    </xf>
    <xf numFmtId="164" fontId="4" fillId="0" borderId="4" xfId="1" applyFont="1" applyFill="1" applyBorder="1" applyAlignment="1">
      <alignment wrapText="1"/>
    </xf>
    <xf numFmtId="0" fontId="1" fillId="7" borderId="31" xfId="0" applyFont="1" applyFill="1" applyBorder="1" applyAlignment="1">
      <alignment horizontal="center" vertical="center" wrapText="1"/>
    </xf>
    <xf numFmtId="0" fontId="1" fillId="7" borderId="33" xfId="0" applyFont="1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8" borderId="31" xfId="0" applyFont="1" applyFill="1" applyBorder="1" applyAlignment="1">
      <alignment horizontal="center" vertical="center" wrapText="1"/>
    </xf>
    <xf numFmtId="0" fontId="1" fillId="8" borderId="33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1" fontId="0" fillId="10" borderId="42" xfId="0" applyNumberFormat="1" applyFill="1" applyBorder="1"/>
    <xf numFmtId="1" fontId="0" fillId="10" borderId="5" xfId="0" applyNumberFormat="1" applyFill="1" applyBorder="1"/>
    <xf numFmtId="0" fontId="6" fillId="8" borderId="33" xfId="0" applyFont="1" applyFill="1" applyBorder="1" applyAlignment="1">
      <alignment horizontal="center" vertical="center" wrapText="1"/>
    </xf>
    <xf numFmtId="0" fontId="0" fillId="13" borderId="15" xfId="0" applyFill="1" applyBorder="1"/>
    <xf numFmtId="0" fontId="0" fillId="13" borderId="11" xfId="0" applyFill="1" applyBorder="1"/>
    <xf numFmtId="1" fontId="0" fillId="13" borderId="3" xfId="0" applyNumberFormat="1" applyFill="1" applyBorder="1"/>
    <xf numFmtId="1" fontId="0" fillId="13" borderId="4" xfId="0" applyNumberFormat="1" applyFill="1" applyBorder="1"/>
    <xf numFmtId="1" fontId="0" fillId="13" borderId="42" xfId="0" applyNumberFormat="1" applyFill="1" applyBorder="1"/>
    <xf numFmtId="1" fontId="0" fillId="13" borderId="5" xfId="0" applyNumberFormat="1" applyFill="1" applyBorder="1"/>
    <xf numFmtId="0" fontId="0" fillId="13" borderId="25" xfId="0" applyFill="1" applyBorder="1"/>
    <xf numFmtId="0" fontId="0" fillId="13" borderId="12" xfId="0" applyFill="1" applyBorder="1"/>
    <xf numFmtId="166" fontId="0" fillId="13" borderId="7" xfId="0" applyNumberFormat="1" applyFill="1" applyBorder="1"/>
    <xf numFmtId="166" fontId="0" fillId="13" borderId="2" xfId="0" applyNumberFormat="1" applyFill="1" applyBorder="1"/>
    <xf numFmtId="166" fontId="0" fillId="13" borderId="14" xfId="0" applyNumberFormat="1" applyFill="1" applyBorder="1"/>
    <xf numFmtId="166" fontId="0" fillId="13" borderId="1" xfId="0" applyNumberFormat="1" applyFill="1" applyBorder="1"/>
    <xf numFmtId="166" fontId="0" fillId="13" borderId="6" xfId="0" applyNumberFormat="1" applyFill="1" applyBorder="1"/>
    <xf numFmtId="166" fontId="0" fillId="13" borderId="44" xfId="0" applyNumberFormat="1" applyFill="1" applyBorder="1"/>
    <xf numFmtId="0" fontId="0" fillId="13" borderId="7" xfId="0" applyFill="1" applyBorder="1"/>
    <xf numFmtId="0" fontId="0" fillId="13" borderId="2" xfId="0" applyFill="1" applyBorder="1"/>
    <xf numFmtId="1" fontId="0" fillId="13" borderId="8" xfId="0" applyNumberFormat="1" applyFill="1" applyBorder="1"/>
    <xf numFmtId="0" fontId="0" fillId="13" borderId="37" xfId="0" applyFill="1" applyBorder="1"/>
    <xf numFmtId="0" fontId="0" fillId="13" borderId="28" xfId="0" applyFill="1" applyBorder="1"/>
    <xf numFmtId="166" fontId="0" fillId="13" borderId="23" xfId="0" applyNumberFormat="1" applyFill="1" applyBorder="1"/>
    <xf numFmtId="166" fontId="0" fillId="13" borderId="24" xfId="0" applyNumberFormat="1" applyFill="1" applyBorder="1"/>
    <xf numFmtId="166" fontId="0" fillId="13" borderId="27" xfId="0" applyNumberFormat="1" applyFill="1" applyBorder="1"/>
    <xf numFmtId="0" fontId="0" fillId="13" borderId="35" xfId="0" applyFill="1" applyBorder="1"/>
    <xf numFmtId="0" fontId="0" fillId="13" borderId="20" xfId="0" applyFill="1" applyBorder="1"/>
    <xf numFmtId="164" fontId="0" fillId="13" borderId="17" xfId="0" applyNumberFormat="1" applyFill="1" applyBorder="1"/>
    <xf numFmtId="164" fontId="0" fillId="13" borderId="16" xfId="0" applyNumberFormat="1" applyFill="1" applyBorder="1"/>
    <xf numFmtId="164" fontId="0" fillId="13" borderId="26" xfId="0" applyNumberFormat="1" applyFill="1" applyBorder="1"/>
    <xf numFmtId="0" fontId="0" fillId="13" borderId="36" xfId="0" applyFill="1" applyBorder="1"/>
    <xf numFmtId="0" fontId="0" fillId="13" borderId="21" xfId="0" applyFill="1" applyBorder="1"/>
    <xf numFmtId="0" fontId="0" fillId="13" borderId="1" xfId="0" applyFill="1" applyBorder="1"/>
    <xf numFmtId="0" fontId="0" fillId="13" borderId="4" xfId="0" applyFill="1" applyBorder="1"/>
    <xf numFmtId="164" fontId="4" fillId="13" borderId="4" xfId="1" applyFont="1" applyFill="1" applyBorder="1" applyAlignment="1">
      <alignment wrapText="1"/>
    </xf>
    <xf numFmtId="0" fontId="0" fillId="13" borderId="3" xfId="0" applyFill="1" applyBorder="1"/>
    <xf numFmtId="0" fontId="0" fillId="0" borderId="1" xfId="0" applyBorder="1"/>
    <xf numFmtId="0" fontId="7" fillId="15" borderId="2" xfId="0" applyFont="1" applyFill="1" applyBorder="1"/>
    <xf numFmtId="0" fontId="7" fillId="15" borderId="1" xfId="0" applyFont="1" applyFill="1" applyBorder="1"/>
    <xf numFmtId="0" fontId="7" fillId="2" borderId="1" xfId="0" applyFont="1" applyFill="1" applyBorder="1"/>
    <xf numFmtId="0" fontId="7" fillId="15" borderId="47" xfId="0" applyFont="1" applyFill="1" applyBorder="1"/>
    <xf numFmtId="0" fontId="7" fillId="2" borderId="48" xfId="0" applyFont="1" applyFill="1" applyBorder="1"/>
    <xf numFmtId="0" fontId="7" fillId="15" borderId="49" xfId="0" applyFont="1" applyFill="1" applyBorder="1"/>
    <xf numFmtId="0" fontId="7" fillId="15" borderId="50" xfId="0" applyFont="1" applyFill="1" applyBorder="1"/>
    <xf numFmtId="0" fontId="7" fillId="15" borderId="48" xfId="0" applyFont="1" applyFill="1" applyBorder="1"/>
    <xf numFmtId="0" fontId="7" fillId="16" borderId="1" xfId="0" applyFont="1" applyFill="1" applyBorder="1"/>
    <xf numFmtId="0" fontId="0" fillId="0" borderId="48" xfId="0" applyBorder="1" applyAlignment="1">
      <alignment horizontal="center"/>
    </xf>
    <xf numFmtId="0" fontId="8" fillId="14" borderId="2" xfId="0" applyFont="1" applyFill="1" applyBorder="1"/>
    <xf numFmtId="0" fontId="8" fillId="14" borderId="0" xfId="0" applyFont="1" applyFill="1"/>
    <xf numFmtId="0" fontId="9" fillId="17" borderId="1" xfId="0" applyFont="1" applyFill="1" applyBorder="1"/>
    <xf numFmtId="0" fontId="0" fillId="0" borderId="51" xfId="0" applyBorder="1"/>
    <xf numFmtId="0" fontId="0" fillId="0" borderId="26" xfId="0" applyBorder="1"/>
    <xf numFmtId="0" fontId="0" fillId="0" borderId="53" xfId="0" applyBorder="1"/>
    <xf numFmtId="0" fontId="5" fillId="2" borderId="0" xfId="0" applyFont="1" applyFill="1" applyAlignment="1">
      <alignment horizontal="center"/>
    </xf>
    <xf numFmtId="9" fontId="5" fillId="2" borderId="0" xfId="0" applyNumberFormat="1" applyFont="1" applyFill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left"/>
    </xf>
    <xf numFmtId="1" fontId="0" fillId="4" borderId="1" xfId="0" applyNumberFormat="1" applyFill="1" applyBorder="1"/>
    <xf numFmtId="166" fontId="0" fillId="4" borderId="1" xfId="0" applyNumberFormat="1" applyFill="1" applyBorder="1"/>
    <xf numFmtId="164" fontId="0" fillId="4" borderId="1" xfId="0" applyNumberFormat="1" applyFill="1" applyBorder="1"/>
    <xf numFmtId="166" fontId="0" fillId="5" borderId="46" xfId="0" applyNumberFormat="1" applyFill="1" applyBorder="1"/>
    <xf numFmtId="1" fontId="0" fillId="4" borderId="9" xfId="0" applyNumberFormat="1" applyFill="1" applyBorder="1"/>
    <xf numFmtId="166" fontId="0" fillId="4" borderId="10" xfId="0" applyNumberFormat="1" applyFill="1" applyBorder="1"/>
    <xf numFmtId="166" fontId="0" fillId="4" borderId="46" xfId="0" applyNumberFormat="1" applyFill="1" applyBorder="1"/>
    <xf numFmtId="164" fontId="0" fillId="4" borderId="45" xfId="0" applyNumberFormat="1" applyFill="1" applyBorder="1"/>
    <xf numFmtId="0" fontId="10" fillId="18" borderId="3" xfId="0" applyFont="1" applyFill="1" applyBorder="1" applyAlignment="1">
      <alignment wrapText="1"/>
    </xf>
    <xf numFmtId="0" fontId="10" fillId="18" borderId="4" xfId="0" applyFont="1" applyFill="1" applyBorder="1" applyAlignment="1">
      <alignment wrapText="1"/>
    </xf>
    <xf numFmtId="164" fontId="4" fillId="19" borderId="4" xfId="1" applyFont="1" applyFill="1" applyBorder="1" applyAlignment="1">
      <alignment wrapText="1"/>
    </xf>
    <xf numFmtId="164" fontId="4" fillId="5" borderId="54" xfId="1" applyFont="1" applyFill="1" applyBorder="1" applyAlignment="1">
      <alignment wrapText="1"/>
    </xf>
    <xf numFmtId="164" fontId="4" fillId="5" borderId="42" xfId="1" applyFont="1" applyFill="1" applyBorder="1" applyAlignment="1">
      <alignment wrapText="1"/>
    </xf>
    <xf numFmtId="0" fontId="4" fillId="5" borderId="16" xfId="0" applyFont="1" applyFill="1" applyBorder="1"/>
    <xf numFmtId="164" fontId="4" fillId="5" borderId="9" xfId="1" applyFont="1" applyFill="1" applyBorder="1" applyAlignment="1">
      <alignment wrapText="1"/>
    </xf>
    <xf numFmtId="0" fontId="0" fillId="19" borderId="4" xfId="0" applyFill="1" applyBorder="1"/>
    <xf numFmtId="0" fontId="11" fillId="5" borderId="3" xfId="0" applyFont="1" applyFill="1" applyBorder="1"/>
    <xf numFmtId="0" fontId="11" fillId="5" borderId="4" xfId="0" applyFont="1" applyFill="1" applyBorder="1"/>
    <xf numFmtId="1" fontId="11" fillId="12" borderId="42" xfId="0" applyNumberFormat="1" applyFont="1" applyFill="1" applyBorder="1"/>
    <xf numFmtId="164" fontId="11" fillId="5" borderId="3" xfId="1" applyFont="1" applyFill="1" applyBorder="1" applyAlignment="1">
      <alignment wrapText="1"/>
    </xf>
    <xf numFmtId="164" fontId="11" fillId="5" borderId="4" xfId="1" applyFont="1" applyFill="1" applyBorder="1" applyAlignment="1">
      <alignment wrapText="1"/>
    </xf>
    <xf numFmtId="168" fontId="11" fillId="5" borderId="3" xfId="1" applyNumberFormat="1" applyFont="1" applyFill="1" applyBorder="1" applyAlignment="1">
      <alignment wrapText="1"/>
    </xf>
    <xf numFmtId="168" fontId="11" fillId="5" borderId="4" xfId="1" applyNumberFormat="1" applyFont="1" applyFill="1" applyBorder="1" applyAlignment="1">
      <alignment wrapText="1"/>
    </xf>
    <xf numFmtId="1" fontId="11" fillId="12" borderId="5" xfId="0" applyNumberFormat="1" applyFont="1" applyFill="1" applyBorder="1"/>
    <xf numFmtId="2" fontId="11" fillId="5" borderId="4" xfId="0" applyNumberFormat="1" applyFont="1" applyFill="1" applyBorder="1"/>
    <xf numFmtId="0" fontId="0" fillId="11" borderId="31" xfId="0" applyFill="1" applyBorder="1" applyAlignment="1">
      <alignment horizontal="center" vertical="center" wrapText="1"/>
    </xf>
    <xf numFmtId="0" fontId="0" fillId="11" borderId="38" xfId="0" applyFill="1" applyBorder="1" applyAlignment="1">
      <alignment horizontal="center" vertical="center" wrapText="1"/>
    </xf>
    <xf numFmtId="0" fontId="0" fillId="11" borderId="31" xfId="0" applyFill="1" applyBorder="1" applyAlignment="1">
      <alignment horizontal="center" vertical="center"/>
    </xf>
    <xf numFmtId="0" fontId="0" fillId="11" borderId="38" xfId="0" applyFill="1" applyBorder="1" applyAlignment="1">
      <alignment horizontal="center" vertical="center"/>
    </xf>
    <xf numFmtId="0" fontId="0" fillId="11" borderId="55" xfId="0" applyFill="1" applyBorder="1" applyAlignment="1">
      <alignment horizontal="center" vertical="center"/>
    </xf>
    <xf numFmtId="0" fontId="0" fillId="11" borderId="16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0" fillId="6" borderId="38" xfId="0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6" borderId="34" xfId="0" applyFill="1" applyBorder="1" applyAlignment="1">
      <alignment horizontal="center" vertical="center"/>
    </xf>
    <xf numFmtId="0" fontId="0" fillId="6" borderId="33" xfId="0" applyFill="1" applyBorder="1" applyAlignment="1">
      <alignment horizontal="center" vertical="center" wrapText="1"/>
    </xf>
    <xf numFmtId="0" fontId="0" fillId="6" borderId="39" xfId="0" applyFill="1" applyBorder="1" applyAlignment="1">
      <alignment horizontal="center" vertical="center" wrapText="1"/>
    </xf>
    <xf numFmtId="0" fontId="0" fillId="6" borderId="38" xfId="0" applyFill="1" applyBorder="1" applyAlignment="1">
      <alignment horizontal="center" vertical="center" wrapText="1"/>
    </xf>
    <xf numFmtId="0" fontId="0" fillId="6" borderId="31" xfId="0" applyFill="1" applyBorder="1" applyAlignment="1">
      <alignment horizontal="center" vertical="center" wrapText="1"/>
    </xf>
    <xf numFmtId="0" fontId="0" fillId="9" borderId="22" xfId="0" applyFill="1" applyBorder="1" applyAlignment="1">
      <alignment horizontal="center" vertical="center"/>
    </xf>
    <xf numFmtId="0" fontId="0" fillId="9" borderId="40" xfId="0" applyFill="1" applyBorder="1" applyAlignment="1">
      <alignment horizontal="center" vertical="center"/>
    </xf>
    <xf numFmtId="0" fontId="0" fillId="9" borderId="31" xfId="0" applyFill="1" applyBorder="1" applyAlignment="1">
      <alignment horizontal="center" vertical="center"/>
    </xf>
    <xf numFmtId="0" fontId="0" fillId="9" borderId="38" xfId="0" applyFill="1" applyBorder="1" applyAlignment="1">
      <alignment horizontal="center" vertical="center"/>
    </xf>
    <xf numFmtId="0" fontId="0" fillId="9" borderId="31" xfId="0" applyFill="1" applyBorder="1" applyAlignment="1">
      <alignment horizontal="center" vertical="center" wrapText="1"/>
    </xf>
    <xf numFmtId="0" fontId="0" fillId="9" borderId="38" xfId="0" applyFill="1" applyBorder="1" applyAlignment="1">
      <alignment horizontal="center" vertical="center" wrapText="1"/>
    </xf>
    <xf numFmtId="0" fontId="0" fillId="9" borderId="34" xfId="0" applyFill="1" applyBorder="1" applyAlignment="1">
      <alignment horizontal="center" vertical="center"/>
    </xf>
    <xf numFmtId="0" fontId="0" fillId="9" borderId="33" xfId="0" applyFill="1" applyBorder="1" applyAlignment="1">
      <alignment horizontal="center" vertical="center" wrapText="1"/>
    </xf>
    <xf numFmtId="0" fontId="0" fillId="9" borderId="39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7" fillId="15" borderId="48" xfId="0" applyFont="1" applyFill="1" applyBorder="1" applyAlignment="1">
      <alignment horizontal="center"/>
    </xf>
    <xf numFmtId="0" fontId="7" fillId="15" borderId="52" xfId="0" applyFont="1" applyFill="1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6" borderId="56" xfId="0" applyFill="1" applyBorder="1" applyAlignment="1">
      <alignment horizontal="center" vertic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Medium9"/>
  <colors>
    <mruColors>
      <color rgb="FFED6F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CONSUMOS Y COSTOS DE AGUA POR SEDE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61CBF3"/>
            </a:solidFill>
            <a:ln>
              <a:noFill/>
            </a:ln>
            <a:effectLst/>
          </c:spPr>
          <c:invertIfNegative val="0"/>
          <c:cat>
            <c:strRef>
              <c:f>'Input Agua'!$C$1:$AA$1</c:f>
              <c:strCache>
                <c:ptCount val="25"/>
                <c:pt idx="0">
                  <c:v>Antofagasta</c:v>
                </c:pt>
                <c:pt idx="1">
                  <c:v>Barrio Universitario</c:v>
                </c:pt>
                <c:pt idx="2">
                  <c:v>Bellavista</c:v>
                </c:pt>
                <c:pt idx="3">
                  <c:v>Calama</c:v>
                </c:pt>
                <c:pt idx="4">
                  <c:v>Castro</c:v>
                </c:pt>
                <c:pt idx="5">
                  <c:v>Chillán</c:v>
                </c:pt>
                <c:pt idx="6">
                  <c:v>Concepción</c:v>
                </c:pt>
                <c:pt idx="7">
                  <c:v>Curicó</c:v>
                </c:pt>
                <c:pt idx="8">
                  <c:v>La Serena</c:v>
                </c:pt>
                <c:pt idx="9">
                  <c:v>Los Ángeles</c:v>
                </c:pt>
                <c:pt idx="10">
                  <c:v>Maipú</c:v>
                </c:pt>
                <c:pt idx="11">
                  <c:v>Nivel Central</c:v>
                </c:pt>
                <c:pt idx="12">
                  <c:v>Osorno</c:v>
                </c:pt>
                <c:pt idx="13">
                  <c:v>Puerto Montt</c:v>
                </c:pt>
                <c:pt idx="14">
                  <c:v>Rancagua</c:v>
                </c:pt>
                <c:pt idx="15">
                  <c:v>San Antonio</c:v>
                </c:pt>
                <c:pt idx="16">
                  <c:v>San Bernardo</c:v>
                </c:pt>
                <c:pt idx="17">
                  <c:v>San Felipe</c:v>
                </c:pt>
                <c:pt idx="18">
                  <c:v>San Fernando</c:v>
                </c:pt>
                <c:pt idx="19">
                  <c:v>San Joaquín</c:v>
                </c:pt>
                <c:pt idx="20">
                  <c:v>Stgo Norte</c:v>
                </c:pt>
                <c:pt idx="21">
                  <c:v>Talca</c:v>
                </c:pt>
                <c:pt idx="22">
                  <c:v>Temuco</c:v>
                </c:pt>
                <c:pt idx="23">
                  <c:v>Valparaíso</c:v>
                </c:pt>
                <c:pt idx="24">
                  <c:v>Viña del Mar</c:v>
                </c:pt>
              </c:strCache>
            </c:strRef>
          </c:cat>
          <c:val>
            <c:numRef>
              <c:f>'Input Agua'!$C$2:$AA$2</c:f>
              <c:numCache>
                <c:formatCode>0</c:formatCode>
                <c:ptCount val="25"/>
                <c:pt idx="0">
                  <c:v>3027</c:v>
                </c:pt>
                <c:pt idx="1">
                  <c:v>13336</c:v>
                </c:pt>
                <c:pt idx="2">
                  <c:v>19308</c:v>
                </c:pt>
                <c:pt idx="3">
                  <c:v>0</c:v>
                </c:pt>
                <c:pt idx="4">
                  <c:v>1944</c:v>
                </c:pt>
                <c:pt idx="5">
                  <c:v>508</c:v>
                </c:pt>
                <c:pt idx="6">
                  <c:v>4346</c:v>
                </c:pt>
                <c:pt idx="7">
                  <c:v>3387</c:v>
                </c:pt>
                <c:pt idx="8">
                  <c:v>0</c:v>
                </c:pt>
                <c:pt idx="9">
                  <c:v>4000</c:v>
                </c:pt>
                <c:pt idx="10">
                  <c:v>3135</c:v>
                </c:pt>
                <c:pt idx="11">
                  <c:v>2468</c:v>
                </c:pt>
                <c:pt idx="12">
                  <c:v>3956</c:v>
                </c:pt>
                <c:pt idx="13">
                  <c:v>5224</c:v>
                </c:pt>
                <c:pt idx="14">
                  <c:v>9195</c:v>
                </c:pt>
                <c:pt idx="15">
                  <c:v>1196</c:v>
                </c:pt>
                <c:pt idx="16">
                  <c:v>1691</c:v>
                </c:pt>
                <c:pt idx="17">
                  <c:v>5084</c:v>
                </c:pt>
                <c:pt idx="18">
                  <c:v>5004</c:v>
                </c:pt>
                <c:pt idx="19">
                  <c:v>10803</c:v>
                </c:pt>
                <c:pt idx="20">
                  <c:v>3416</c:v>
                </c:pt>
                <c:pt idx="21">
                  <c:v>2956</c:v>
                </c:pt>
                <c:pt idx="22">
                  <c:v>2660</c:v>
                </c:pt>
                <c:pt idx="23">
                  <c:v>1752</c:v>
                </c:pt>
                <c:pt idx="24">
                  <c:v>4719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{"Consumo 2023 (m3)"}</c15:sqref>
                        </c15:formulaRef>
                      </c:ext>
                    </c:extLst>
                    <c:strCache>
                      <c:ptCount val="1"/>
                      <c:pt idx="0">
                        <c:v>Consumo 2023 (m3)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5A96-4238-9ECE-712ED49F8EA3}"/>
            </c:ext>
          </c:extLst>
        </c:ser>
        <c:ser>
          <c:idx val="2"/>
          <c:order val="2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'Input Agua'!$C$1:$AA$1</c:f>
              <c:strCache>
                <c:ptCount val="25"/>
                <c:pt idx="0">
                  <c:v>Antofagasta</c:v>
                </c:pt>
                <c:pt idx="1">
                  <c:v>Barrio Universitario</c:v>
                </c:pt>
                <c:pt idx="2">
                  <c:v>Bellavista</c:v>
                </c:pt>
                <c:pt idx="3">
                  <c:v>Calama</c:v>
                </c:pt>
                <c:pt idx="4">
                  <c:v>Castro</c:v>
                </c:pt>
                <c:pt idx="5">
                  <c:v>Chillán</c:v>
                </c:pt>
                <c:pt idx="6">
                  <c:v>Concepción</c:v>
                </c:pt>
                <c:pt idx="7">
                  <c:v>Curicó</c:v>
                </c:pt>
                <c:pt idx="8">
                  <c:v>La Serena</c:v>
                </c:pt>
                <c:pt idx="9">
                  <c:v>Los Ángeles</c:v>
                </c:pt>
                <c:pt idx="10">
                  <c:v>Maipú</c:v>
                </c:pt>
                <c:pt idx="11">
                  <c:v>Nivel Central</c:v>
                </c:pt>
                <c:pt idx="12">
                  <c:v>Osorno</c:v>
                </c:pt>
                <c:pt idx="13">
                  <c:v>Puerto Montt</c:v>
                </c:pt>
                <c:pt idx="14">
                  <c:v>Rancagua</c:v>
                </c:pt>
                <c:pt idx="15">
                  <c:v>San Antonio</c:v>
                </c:pt>
                <c:pt idx="16">
                  <c:v>San Bernardo</c:v>
                </c:pt>
                <c:pt idx="17">
                  <c:v>San Felipe</c:v>
                </c:pt>
                <c:pt idx="18">
                  <c:v>San Fernando</c:v>
                </c:pt>
                <c:pt idx="19">
                  <c:v>San Joaquín</c:v>
                </c:pt>
                <c:pt idx="20">
                  <c:v>Stgo Norte</c:v>
                </c:pt>
                <c:pt idx="21">
                  <c:v>Talca</c:v>
                </c:pt>
                <c:pt idx="22">
                  <c:v>Temuco</c:v>
                </c:pt>
                <c:pt idx="23">
                  <c:v>Valparaíso</c:v>
                </c:pt>
                <c:pt idx="24">
                  <c:v>Viña del Mar</c:v>
                </c:pt>
              </c:strCache>
            </c:strRef>
          </c:cat>
          <c:val>
            <c:numRef>
              <c:f>'Input Agua'!$C$5:$AA$5</c:f>
              <c:numCache>
                <c:formatCode>0</c:formatCode>
                <c:ptCount val="25"/>
                <c:pt idx="0">
                  <c:v>2571</c:v>
                </c:pt>
                <c:pt idx="1">
                  <c:v>12461</c:v>
                </c:pt>
                <c:pt idx="2">
                  <c:v>16199</c:v>
                </c:pt>
                <c:pt idx="3">
                  <c:v>0</c:v>
                </c:pt>
                <c:pt idx="4">
                  <c:v>1777</c:v>
                </c:pt>
                <c:pt idx="5">
                  <c:v>400.36363636363637</c:v>
                </c:pt>
                <c:pt idx="6">
                  <c:v>5383</c:v>
                </c:pt>
                <c:pt idx="7">
                  <c:v>2228</c:v>
                </c:pt>
                <c:pt idx="8">
                  <c:v>0</c:v>
                </c:pt>
                <c:pt idx="9">
                  <c:v>3756</c:v>
                </c:pt>
                <c:pt idx="10">
                  <c:v>2600.88</c:v>
                </c:pt>
                <c:pt idx="11">
                  <c:v>2693</c:v>
                </c:pt>
                <c:pt idx="12">
                  <c:v>2317</c:v>
                </c:pt>
                <c:pt idx="13">
                  <c:v>6371</c:v>
                </c:pt>
                <c:pt idx="14">
                  <c:v>7366</c:v>
                </c:pt>
                <c:pt idx="15">
                  <c:v>1215</c:v>
                </c:pt>
                <c:pt idx="16">
                  <c:v>1611</c:v>
                </c:pt>
                <c:pt idx="17">
                  <c:v>6782</c:v>
                </c:pt>
                <c:pt idx="18">
                  <c:v>7550</c:v>
                </c:pt>
                <c:pt idx="19">
                  <c:v>8670</c:v>
                </c:pt>
                <c:pt idx="20">
                  <c:v>4416</c:v>
                </c:pt>
                <c:pt idx="21">
                  <c:v>3016</c:v>
                </c:pt>
                <c:pt idx="22">
                  <c:v>2822</c:v>
                </c:pt>
                <c:pt idx="23">
                  <c:v>799</c:v>
                </c:pt>
                <c:pt idx="24">
                  <c:v>4600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{"Consumo 2024 (m3)"}</c15:sqref>
                        </c15:formulaRef>
                      </c:ext>
                    </c:extLst>
                    <c:strCache>
                      <c:ptCount val="1"/>
                      <c:pt idx="0">
                        <c:v>Consumo 2024 (m3)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5-5A96-4238-9ECE-712ED49F8EA3}"/>
            </c:ext>
          </c:extLst>
        </c:ser>
        <c:ser>
          <c:idx val="4"/>
          <c:order val="4"/>
          <c:spPr>
            <a:solidFill>
              <a:srgbClr val="145F82"/>
            </a:solidFill>
            <a:ln>
              <a:noFill/>
            </a:ln>
            <a:effectLst/>
          </c:spPr>
          <c:invertIfNegative val="0"/>
          <c:cat>
            <c:strRef>
              <c:f>'Input Agua'!$C$1:$AA$1</c:f>
              <c:strCache>
                <c:ptCount val="25"/>
                <c:pt idx="0">
                  <c:v>Antofagasta</c:v>
                </c:pt>
                <c:pt idx="1">
                  <c:v>Barrio Universitario</c:v>
                </c:pt>
                <c:pt idx="2">
                  <c:v>Bellavista</c:v>
                </c:pt>
                <c:pt idx="3">
                  <c:v>Calama</c:v>
                </c:pt>
                <c:pt idx="4">
                  <c:v>Castro</c:v>
                </c:pt>
                <c:pt idx="5">
                  <c:v>Chillán</c:v>
                </c:pt>
                <c:pt idx="6">
                  <c:v>Concepción</c:v>
                </c:pt>
                <c:pt idx="7">
                  <c:v>Curicó</c:v>
                </c:pt>
                <c:pt idx="8">
                  <c:v>La Serena</c:v>
                </c:pt>
                <c:pt idx="9">
                  <c:v>Los Ángeles</c:v>
                </c:pt>
                <c:pt idx="10">
                  <c:v>Maipú</c:v>
                </c:pt>
                <c:pt idx="11">
                  <c:v>Nivel Central</c:v>
                </c:pt>
                <c:pt idx="12">
                  <c:v>Osorno</c:v>
                </c:pt>
                <c:pt idx="13">
                  <c:v>Puerto Montt</c:v>
                </c:pt>
                <c:pt idx="14">
                  <c:v>Rancagua</c:v>
                </c:pt>
                <c:pt idx="15">
                  <c:v>San Antonio</c:v>
                </c:pt>
                <c:pt idx="16">
                  <c:v>San Bernardo</c:v>
                </c:pt>
                <c:pt idx="17">
                  <c:v>San Felipe</c:v>
                </c:pt>
                <c:pt idx="18">
                  <c:v>San Fernando</c:v>
                </c:pt>
                <c:pt idx="19">
                  <c:v>San Joaquín</c:v>
                </c:pt>
                <c:pt idx="20">
                  <c:v>Stgo Norte</c:v>
                </c:pt>
                <c:pt idx="21">
                  <c:v>Talca</c:v>
                </c:pt>
                <c:pt idx="22">
                  <c:v>Temuco</c:v>
                </c:pt>
                <c:pt idx="23">
                  <c:v>Valparaíso</c:v>
                </c:pt>
                <c:pt idx="24">
                  <c:v>Viña del Mar</c:v>
                </c:pt>
              </c:strCache>
            </c:strRef>
          </c:cat>
          <c:val>
            <c:numRef>
              <c:f>'Input Agua'!$C$8:$AA$8</c:f>
              <c:numCache>
                <c:formatCode>0</c:formatCode>
                <c:ptCount val="25"/>
                <c:pt idx="0">
                  <c:v>2969</c:v>
                </c:pt>
                <c:pt idx="1">
                  <c:v>7987</c:v>
                </c:pt>
                <c:pt idx="2">
                  <c:v>11396.599999999999</c:v>
                </c:pt>
                <c:pt idx="3">
                  <c:v>0</c:v>
                </c:pt>
                <c:pt idx="4">
                  <c:v>1791</c:v>
                </c:pt>
                <c:pt idx="5">
                  <c:v>428</c:v>
                </c:pt>
                <c:pt idx="6">
                  <c:v>9661</c:v>
                </c:pt>
                <c:pt idx="7">
                  <c:v>2251</c:v>
                </c:pt>
                <c:pt idx="8">
                  <c:v>0</c:v>
                </c:pt>
                <c:pt idx="9">
                  <c:v>2357</c:v>
                </c:pt>
                <c:pt idx="10">
                  <c:v>3561.5</c:v>
                </c:pt>
                <c:pt idx="11">
                  <c:v>2971</c:v>
                </c:pt>
                <c:pt idx="12">
                  <c:v>1634</c:v>
                </c:pt>
                <c:pt idx="13">
                  <c:v>3941</c:v>
                </c:pt>
                <c:pt idx="14">
                  <c:v>6345</c:v>
                </c:pt>
                <c:pt idx="15">
                  <c:v>1357</c:v>
                </c:pt>
                <c:pt idx="16">
                  <c:v>1022</c:v>
                </c:pt>
                <c:pt idx="17">
                  <c:v>4517</c:v>
                </c:pt>
                <c:pt idx="18">
                  <c:v>9620</c:v>
                </c:pt>
                <c:pt idx="19">
                  <c:v>7872</c:v>
                </c:pt>
                <c:pt idx="20">
                  <c:v>2217</c:v>
                </c:pt>
                <c:pt idx="21">
                  <c:v>2387</c:v>
                </c:pt>
                <c:pt idx="22">
                  <c:v>2549</c:v>
                </c:pt>
                <c:pt idx="23">
                  <c:v>837</c:v>
                </c:pt>
                <c:pt idx="24">
                  <c:v>4158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{"Consumo 2025 (m3)"}</c15:sqref>
                        </c15:formulaRef>
                      </c:ext>
                    </c:extLst>
                    <c:strCache>
                      <c:ptCount val="1"/>
                      <c:pt idx="0">
                        <c:v>Consumo 2025 (m3)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9-5A96-4238-9ECE-712ED49F8E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03223048"/>
        <c:axId val="1817858056"/>
      </c:barChart>
      <c:lineChart>
        <c:grouping val="standard"/>
        <c:varyColors val="0"/>
        <c:ser>
          <c:idx val="1"/>
          <c:order val="1"/>
          <c:spPr>
            <a:ln w="12700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squar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  <a:prstDash val="solid"/>
              </a:ln>
              <a:effectLst/>
            </c:spPr>
          </c:marker>
          <c:cat>
            <c:strRef>
              <c:f>'Input Agua'!$C$1:$AA$1</c:f>
              <c:strCache>
                <c:ptCount val="25"/>
                <c:pt idx="0">
                  <c:v>Antofagasta</c:v>
                </c:pt>
                <c:pt idx="1">
                  <c:v>Barrio Universitario</c:v>
                </c:pt>
                <c:pt idx="2">
                  <c:v>Bellavista</c:v>
                </c:pt>
                <c:pt idx="3">
                  <c:v>Calama</c:v>
                </c:pt>
                <c:pt idx="4">
                  <c:v>Castro</c:v>
                </c:pt>
                <c:pt idx="5">
                  <c:v>Chillán</c:v>
                </c:pt>
                <c:pt idx="6">
                  <c:v>Concepción</c:v>
                </c:pt>
                <c:pt idx="7">
                  <c:v>Curicó</c:v>
                </c:pt>
                <c:pt idx="8">
                  <c:v>La Serena</c:v>
                </c:pt>
                <c:pt idx="9">
                  <c:v>Los Ángeles</c:v>
                </c:pt>
                <c:pt idx="10">
                  <c:v>Maipú</c:v>
                </c:pt>
                <c:pt idx="11">
                  <c:v>Nivel Central</c:v>
                </c:pt>
                <c:pt idx="12">
                  <c:v>Osorno</c:v>
                </c:pt>
                <c:pt idx="13">
                  <c:v>Puerto Montt</c:v>
                </c:pt>
                <c:pt idx="14">
                  <c:v>Rancagua</c:v>
                </c:pt>
                <c:pt idx="15">
                  <c:v>San Antonio</c:v>
                </c:pt>
                <c:pt idx="16">
                  <c:v>San Bernardo</c:v>
                </c:pt>
                <c:pt idx="17">
                  <c:v>San Felipe</c:v>
                </c:pt>
                <c:pt idx="18">
                  <c:v>San Fernando</c:v>
                </c:pt>
                <c:pt idx="19">
                  <c:v>San Joaquín</c:v>
                </c:pt>
                <c:pt idx="20">
                  <c:v>Stgo Norte</c:v>
                </c:pt>
                <c:pt idx="21">
                  <c:v>Talca</c:v>
                </c:pt>
                <c:pt idx="22">
                  <c:v>Temuco</c:v>
                </c:pt>
                <c:pt idx="23">
                  <c:v>Valparaíso</c:v>
                </c:pt>
                <c:pt idx="24">
                  <c:v>Viña del Mar</c:v>
                </c:pt>
              </c:strCache>
            </c:strRef>
          </c:cat>
          <c:val>
            <c:numRef>
              <c:f>'Input Agua'!$C$3:$AA$3</c:f>
              <c:numCache>
                <c:formatCode>_-[$$-409]* #,##0_ ;_-[$$-409]* \-#,##0\ ;_-[$$-409]* "-"??_ ;_-@_ 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{"Costos 2023 (CLP$)"}</c15:sqref>
                        </c15:formulaRef>
                      </c:ext>
                    </c:extLst>
                    <c:strCache>
                      <c:ptCount val="1"/>
                      <c:pt idx="0">
                        <c:v>Costos 2023 (CLP$)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5A96-4238-9ECE-712ED49F8EA3}"/>
            </c:ext>
          </c:extLst>
        </c:ser>
        <c:ser>
          <c:idx val="3"/>
          <c:order val="3"/>
          <c:spPr>
            <a:ln w="12700" cap="rnd">
              <a:solidFill>
                <a:srgbClr val="FFFF00"/>
              </a:solidFill>
              <a:prstDash val="solid"/>
              <a:round/>
            </a:ln>
            <a:effectLst/>
          </c:spPr>
          <c:marker>
            <c:symbol val="square"/>
            <c:size val="5"/>
            <c:spPr>
              <a:solidFill>
                <a:srgbClr val="FFFF00"/>
              </a:solidFill>
              <a:ln w="9525">
                <a:solidFill>
                  <a:srgbClr val="FFFF00"/>
                </a:solidFill>
                <a:prstDash val="solid"/>
              </a:ln>
              <a:effectLst/>
            </c:spPr>
          </c:marker>
          <c:cat>
            <c:strRef>
              <c:f>'Input Agua'!$C$1:$AA$1</c:f>
              <c:strCache>
                <c:ptCount val="25"/>
                <c:pt idx="0">
                  <c:v>Antofagasta</c:v>
                </c:pt>
                <c:pt idx="1">
                  <c:v>Barrio Universitario</c:v>
                </c:pt>
                <c:pt idx="2">
                  <c:v>Bellavista</c:v>
                </c:pt>
                <c:pt idx="3">
                  <c:v>Calama</c:v>
                </c:pt>
                <c:pt idx="4">
                  <c:v>Castro</c:v>
                </c:pt>
                <c:pt idx="5">
                  <c:v>Chillán</c:v>
                </c:pt>
                <c:pt idx="6">
                  <c:v>Concepción</c:v>
                </c:pt>
                <c:pt idx="7">
                  <c:v>Curicó</c:v>
                </c:pt>
                <c:pt idx="8">
                  <c:v>La Serena</c:v>
                </c:pt>
                <c:pt idx="9">
                  <c:v>Los Ángeles</c:v>
                </c:pt>
                <c:pt idx="10">
                  <c:v>Maipú</c:v>
                </c:pt>
                <c:pt idx="11">
                  <c:v>Nivel Central</c:v>
                </c:pt>
                <c:pt idx="12">
                  <c:v>Osorno</c:v>
                </c:pt>
                <c:pt idx="13">
                  <c:v>Puerto Montt</c:v>
                </c:pt>
                <c:pt idx="14">
                  <c:v>Rancagua</c:v>
                </c:pt>
                <c:pt idx="15">
                  <c:v>San Antonio</c:v>
                </c:pt>
                <c:pt idx="16">
                  <c:v>San Bernardo</c:v>
                </c:pt>
                <c:pt idx="17">
                  <c:v>San Felipe</c:v>
                </c:pt>
                <c:pt idx="18">
                  <c:v>San Fernando</c:v>
                </c:pt>
                <c:pt idx="19">
                  <c:v>San Joaquín</c:v>
                </c:pt>
                <c:pt idx="20">
                  <c:v>Stgo Norte</c:v>
                </c:pt>
                <c:pt idx="21">
                  <c:v>Talca</c:v>
                </c:pt>
                <c:pt idx="22">
                  <c:v>Temuco</c:v>
                </c:pt>
                <c:pt idx="23">
                  <c:v>Valparaíso</c:v>
                </c:pt>
                <c:pt idx="24">
                  <c:v>Viña del Mar</c:v>
                </c:pt>
              </c:strCache>
            </c:strRef>
          </c:cat>
          <c:val>
            <c:numRef>
              <c:f>'Input Agua'!$C$6:$AA$6</c:f>
              <c:numCache>
                <c:formatCode>_-[$$-409]* #,##0_ ;_-[$$-409]* \-#,##0\ ;_-[$$-409]* "-"??_ ;_-@_ 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{"Costos 2024 (CLP$)"}</c15:sqref>
                        </c15:formulaRef>
                      </c:ext>
                    </c:extLst>
                    <c:strCache>
                      <c:ptCount val="1"/>
                      <c:pt idx="0">
                        <c:v>Costos 2024 (CLP$)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7-5A96-4238-9ECE-712ED49F8EA3}"/>
            </c:ext>
          </c:extLst>
        </c:ser>
        <c:ser>
          <c:idx val="5"/>
          <c:order val="5"/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'Input Agua'!$C$1:$AA$1</c:f>
              <c:strCache>
                <c:ptCount val="25"/>
                <c:pt idx="0">
                  <c:v>Antofagasta</c:v>
                </c:pt>
                <c:pt idx="1">
                  <c:v>Barrio Universitario</c:v>
                </c:pt>
                <c:pt idx="2">
                  <c:v>Bellavista</c:v>
                </c:pt>
                <c:pt idx="3">
                  <c:v>Calama</c:v>
                </c:pt>
                <c:pt idx="4">
                  <c:v>Castro</c:v>
                </c:pt>
                <c:pt idx="5">
                  <c:v>Chillán</c:v>
                </c:pt>
                <c:pt idx="6">
                  <c:v>Concepción</c:v>
                </c:pt>
                <c:pt idx="7">
                  <c:v>Curicó</c:v>
                </c:pt>
                <c:pt idx="8">
                  <c:v>La Serena</c:v>
                </c:pt>
                <c:pt idx="9">
                  <c:v>Los Ángeles</c:v>
                </c:pt>
                <c:pt idx="10">
                  <c:v>Maipú</c:v>
                </c:pt>
                <c:pt idx="11">
                  <c:v>Nivel Central</c:v>
                </c:pt>
                <c:pt idx="12">
                  <c:v>Osorno</c:v>
                </c:pt>
                <c:pt idx="13">
                  <c:v>Puerto Montt</c:v>
                </c:pt>
                <c:pt idx="14">
                  <c:v>Rancagua</c:v>
                </c:pt>
                <c:pt idx="15">
                  <c:v>San Antonio</c:v>
                </c:pt>
                <c:pt idx="16">
                  <c:v>San Bernardo</c:v>
                </c:pt>
                <c:pt idx="17">
                  <c:v>San Felipe</c:v>
                </c:pt>
                <c:pt idx="18">
                  <c:v>San Fernando</c:v>
                </c:pt>
                <c:pt idx="19">
                  <c:v>San Joaquín</c:v>
                </c:pt>
                <c:pt idx="20">
                  <c:v>Stgo Norte</c:v>
                </c:pt>
                <c:pt idx="21">
                  <c:v>Talca</c:v>
                </c:pt>
                <c:pt idx="22">
                  <c:v>Temuco</c:v>
                </c:pt>
                <c:pt idx="23">
                  <c:v>Valparaíso</c:v>
                </c:pt>
                <c:pt idx="24">
                  <c:v>Viña del Mar</c:v>
                </c:pt>
              </c:strCache>
            </c:strRef>
          </c:cat>
          <c:val>
            <c:numRef>
              <c:f>'Input Agua'!$C$9:$AA$9</c:f>
              <c:numCache>
                <c:formatCode>_-[$$-409]* #,##0_ ;_-[$$-409]* \-#,##0\ ;_-[$$-409]* "-"??_ ;_-@_ 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{"Costos 2025 (CLP$)"}</c15:sqref>
                        </c15:formulaRef>
                      </c:ext>
                    </c:extLst>
                    <c:strCache>
                      <c:ptCount val="1"/>
                      <c:pt idx="0">
                        <c:v>Costos 2025 (CLP$)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B-5A96-4238-9ECE-712ED49F8E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5865735"/>
        <c:axId val="705850375"/>
      </c:lineChart>
      <c:catAx>
        <c:axId val="1003223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7858056"/>
        <c:crosses val="autoZero"/>
        <c:auto val="1"/>
        <c:lblAlgn val="ctr"/>
        <c:lblOffset val="100"/>
        <c:noMultiLvlLbl val="0"/>
      </c:catAx>
      <c:valAx>
        <c:axId val="1817858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m3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3223048"/>
        <c:crosses val="autoZero"/>
        <c:crossBetween val="between"/>
      </c:valAx>
      <c:valAx>
        <c:axId val="705850375"/>
        <c:scaling>
          <c:orientation val="minMax"/>
        </c:scaling>
        <c:delete val="0"/>
        <c:axPos val="r"/>
        <c:numFmt formatCode="_-[$$-409]* #,##0_ ;_-[$$-409]* \-#,##0\ ;_-[$$-409]* &quot;-&quot;??_ ;_-@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5865735"/>
        <c:crosses val="max"/>
        <c:crossBetween val="between"/>
      </c:valAx>
      <c:catAx>
        <c:axId val="7058657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585037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CONSUMO DE AGUA VS POBLACIÓN POR SEDE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61CBF3"/>
            </a:solidFill>
            <a:ln>
              <a:noFill/>
            </a:ln>
            <a:effectLst/>
          </c:spPr>
          <c:invertIfNegative val="0"/>
          <c:cat>
            <c:strRef>
              <c:f>'Input Agua'!$C$1:$AA$1</c:f>
              <c:strCache>
                <c:ptCount val="25"/>
                <c:pt idx="0">
                  <c:v>Antofagasta</c:v>
                </c:pt>
                <c:pt idx="1">
                  <c:v>Barrio Universitario</c:v>
                </c:pt>
                <c:pt idx="2">
                  <c:v>Bellavista</c:v>
                </c:pt>
                <c:pt idx="3">
                  <c:v>Calama</c:v>
                </c:pt>
                <c:pt idx="4">
                  <c:v>Castro</c:v>
                </c:pt>
                <c:pt idx="5">
                  <c:v>Chillán</c:v>
                </c:pt>
                <c:pt idx="6">
                  <c:v>Concepción</c:v>
                </c:pt>
                <c:pt idx="7">
                  <c:v>Curicó</c:v>
                </c:pt>
                <c:pt idx="8">
                  <c:v>La Serena</c:v>
                </c:pt>
                <c:pt idx="9">
                  <c:v>Los Ángeles</c:v>
                </c:pt>
                <c:pt idx="10">
                  <c:v>Maipú</c:v>
                </c:pt>
                <c:pt idx="11">
                  <c:v>Nivel Central</c:v>
                </c:pt>
                <c:pt idx="12">
                  <c:v>Osorno</c:v>
                </c:pt>
                <c:pt idx="13">
                  <c:v>Puerto Montt</c:v>
                </c:pt>
                <c:pt idx="14">
                  <c:v>Rancagua</c:v>
                </c:pt>
                <c:pt idx="15">
                  <c:v>San Antonio</c:v>
                </c:pt>
                <c:pt idx="16">
                  <c:v>San Bernardo</c:v>
                </c:pt>
                <c:pt idx="17">
                  <c:v>San Felipe</c:v>
                </c:pt>
                <c:pt idx="18">
                  <c:v>San Fernando</c:v>
                </c:pt>
                <c:pt idx="19">
                  <c:v>San Joaquín</c:v>
                </c:pt>
                <c:pt idx="20">
                  <c:v>Stgo Norte</c:v>
                </c:pt>
                <c:pt idx="21">
                  <c:v>Talca</c:v>
                </c:pt>
                <c:pt idx="22">
                  <c:v>Temuco</c:v>
                </c:pt>
                <c:pt idx="23">
                  <c:v>Valparaíso</c:v>
                </c:pt>
                <c:pt idx="24">
                  <c:v>Viña del Mar</c:v>
                </c:pt>
              </c:strCache>
            </c:strRef>
          </c:cat>
          <c:val>
            <c:numRef>
              <c:f>'Input Agua'!$C$2:$AA$2</c:f>
              <c:numCache>
                <c:formatCode>0</c:formatCode>
                <c:ptCount val="25"/>
                <c:pt idx="0">
                  <c:v>3027</c:v>
                </c:pt>
                <c:pt idx="1">
                  <c:v>13336</c:v>
                </c:pt>
                <c:pt idx="2">
                  <c:v>19308</c:v>
                </c:pt>
                <c:pt idx="3">
                  <c:v>0</c:v>
                </c:pt>
                <c:pt idx="4">
                  <c:v>1944</c:v>
                </c:pt>
                <c:pt idx="5">
                  <c:v>508</c:v>
                </c:pt>
                <c:pt idx="6">
                  <c:v>4346</c:v>
                </c:pt>
                <c:pt idx="7">
                  <c:v>3387</c:v>
                </c:pt>
                <c:pt idx="8">
                  <c:v>0</c:v>
                </c:pt>
                <c:pt idx="9">
                  <c:v>4000</c:v>
                </c:pt>
                <c:pt idx="10">
                  <c:v>3135</c:v>
                </c:pt>
                <c:pt idx="11">
                  <c:v>2468</c:v>
                </c:pt>
                <c:pt idx="12">
                  <c:v>3956</c:v>
                </c:pt>
                <c:pt idx="13">
                  <c:v>5224</c:v>
                </c:pt>
                <c:pt idx="14">
                  <c:v>9195</c:v>
                </c:pt>
                <c:pt idx="15">
                  <c:v>1196</c:v>
                </c:pt>
                <c:pt idx="16">
                  <c:v>1691</c:v>
                </c:pt>
                <c:pt idx="17">
                  <c:v>5084</c:v>
                </c:pt>
                <c:pt idx="18">
                  <c:v>5004</c:v>
                </c:pt>
                <c:pt idx="19">
                  <c:v>10803</c:v>
                </c:pt>
                <c:pt idx="20">
                  <c:v>3416</c:v>
                </c:pt>
                <c:pt idx="21">
                  <c:v>2956</c:v>
                </c:pt>
                <c:pt idx="22">
                  <c:v>2660</c:v>
                </c:pt>
                <c:pt idx="23">
                  <c:v>1752</c:v>
                </c:pt>
                <c:pt idx="24">
                  <c:v>4719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{"Consumo 2023 (m3)"}</c15:sqref>
                        </c15:formulaRef>
                      </c:ext>
                    </c:extLst>
                    <c:strCache>
                      <c:ptCount val="1"/>
                      <c:pt idx="0">
                        <c:v>Consumo 2023 (m3)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737-4264-BB2E-DF31EF6900BA}"/>
            </c:ext>
          </c:extLst>
        </c:ser>
        <c:ser>
          <c:idx val="2"/>
          <c:order val="1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'Input Agua'!$C$1:$AA$1</c:f>
              <c:strCache>
                <c:ptCount val="25"/>
                <c:pt idx="0">
                  <c:v>Antofagasta</c:v>
                </c:pt>
                <c:pt idx="1">
                  <c:v>Barrio Universitario</c:v>
                </c:pt>
                <c:pt idx="2">
                  <c:v>Bellavista</c:v>
                </c:pt>
                <c:pt idx="3">
                  <c:v>Calama</c:v>
                </c:pt>
                <c:pt idx="4">
                  <c:v>Castro</c:v>
                </c:pt>
                <c:pt idx="5">
                  <c:v>Chillán</c:v>
                </c:pt>
                <c:pt idx="6">
                  <c:v>Concepción</c:v>
                </c:pt>
                <c:pt idx="7">
                  <c:v>Curicó</c:v>
                </c:pt>
                <c:pt idx="8">
                  <c:v>La Serena</c:v>
                </c:pt>
                <c:pt idx="9">
                  <c:v>Los Ángeles</c:v>
                </c:pt>
                <c:pt idx="10">
                  <c:v>Maipú</c:v>
                </c:pt>
                <c:pt idx="11">
                  <c:v>Nivel Central</c:v>
                </c:pt>
                <c:pt idx="12">
                  <c:v>Osorno</c:v>
                </c:pt>
                <c:pt idx="13">
                  <c:v>Puerto Montt</c:v>
                </c:pt>
                <c:pt idx="14">
                  <c:v>Rancagua</c:v>
                </c:pt>
                <c:pt idx="15">
                  <c:v>San Antonio</c:v>
                </c:pt>
                <c:pt idx="16">
                  <c:v>San Bernardo</c:v>
                </c:pt>
                <c:pt idx="17">
                  <c:v>San Felipe</c:v>
                </c:pt>
                <c:pt idx="18">
                  <c:v>San Fernando</c:v>
                </c:pt>
                <c:pt idx="19">
                  <c:v>San Joaquín</c:v>
                </c:pt>
                <c:pt idx="20">
                  <c:v>Stgo Norte</c:v>
                </c:pt>
                <c:pt idx="21">
                  <c:v>Talca</c:v>
                </c:pt>
                <c:pt idx="22">
                  <c:v>Temuco</c:v>
                </c:pt>
                <c:pt idx="23">
                  <c:v>Valparaíso</c:v>
                </c:pt>
                <c:pt idx="24">
                  <c:v>Viña del Mar</c:v>
                </c:pt>
              </c:strCache>
            </c:strRef>
          </c:cat>
          <c:val>
            <c:numRef>
              <c:f>'Input Agua'!$C$5:$AA$5</c:f>
              <c:numCache>
                <c:formatCode>0</c:formatCode>
                <c:ptCount val="25"/>
                <c:pt idx="0">
                  <c:v>2571</c:v>
                </c:pt>
                <c:pt idx="1">
                  <c:v>12461</c:v>
                </c:pt>
                <c:pt idx="2">
                  <c:v>16199</c:v>
                </c:pt>
                <c:pt idx="3">
                  <c:v>0</c:v>
                </c:pt>
                <c:pt idx="4">
                  <c:v>1777</c:v>
                </c:pt>
                <c:pt idx="5">
                  <c:v>400.36363636363637</c:v>
                </c:pt>
                <c:pt idx="6">
                  <c:v>5383</c:v>
                </c:pt>
                <c:pt idx="7">
                  <c:v>2228</c:v>
                </c:pt>
                <c:pt idx="8">
                  <c:v>0</c:v>
                </c:pt>
                <c:pt idx="9">
                  <c:v>3756</c:v>
                </c:pt>
                <c:pt idx="10">
                  <c:v>2600.88</c:v>
                </c:pt>
                <c:pt idx="11">
                  <c:v>2693</c:v>
                </c:pt>
                <c:pt idx="12">
                  <c:v>2317</c:v>
                </c:pt>
                <c:pt idx="13">
                  <c:v>6371</c:v>
                </c:pt>
                <c:pt idx="14">
                  <c:v>7366</c:v>
                </c:pt>
                <c:pt idx="15">
                  <c:v>1215</c:v>
                </c:pt>
                <c:pt idx="16">
                  <c:v>1611</c:v>
                </c:pt>
                <c:pt idx="17">
                  <c:v>6782</c:v>
                </c:pt>
                <c:pt idx="18">
                  <c:v>7550</c:v>
                </c:pt>
                <c:pt idx="19">
                  <c:v>8670</c:v>
                </c:pt>
                <c:pt idx="20">
                  <c:v>4416</c:v>
                </c:pt>
                <c:pt idx="21">
                  <c:v>3016</c:v>
                </c:pt>
                <c:pt idx="22">
                  <c:v>2822</c:v>
                </c:pt>
                <c:pt idx="23">
                  <c:v>799</c:v>
                </c:pt>
                <c:pt idx="24">
                  <c:v>4600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{"Consumo 2024 (m3)"}</c15:sqref>
                        </c15:formulaRef>
                      </c:ext>
                    </c:extLst>
                    <c:strCache>
                      <c:ptCount val="1"/>
                      <c:pt idx="0">
                        <c:v>Consumo 2024 (m3)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5737-4264-BB2E-DF31EF6900BA}"/>
            </c:ext>
          </c:extLst>
        </c:ser>
        <c:ser>
          <c:idx val="4"/>
          <c:order val="2"/>
          <c:spPr>
            <a:solidFill>
              <a:srgbClr val="0E2841"/>
            </a:solidFill>
            <a:ln w="12700">
              <a:solidFill>
                <a:srgbClr val="0E2841"/>
              </a:solidFill>
              <a:prstDash val="solid"/>
            </a:ln>
            <a:effectLst/>
          </c:spPr>
          <c:invertIfNegative val="0"/>
          <c:cat>
            <c:strRef>
              <c:f>'Input Agua'!$C$1:$AA$1</c:f>
              <c:strCache>
                <c:ptCount val="25"/>
                <c:pt idx="0">
                  <c:v>Antofagasta</c:v>
                </c:pt>
                <c:pt idx="1">
                  <c:v>Barrio Universitario</c:v>
                </c:pt>
                <c:pt idx="2">
                  <c:v>Bellavista</c:v>
                </c:pt>
                <c:pt idx="3">
                  <c:v>Calama</c:v>
                </c:pt>
                <c:pt idx="4">
                  <c:v>Castro</c:v>
                </c:pt>
                <c:pt idx="5">
                  <c:v>Chillán</c:v>
                </c:pt>
                <c:pt idx="6">
                  <c:v>Concepción</c:v>
                </c:pt>
                <c:pt idx="7">
                  <c:v>Curicó</c:v>
                </c:pt>
                <c:pt idx="8">
                  <c:v>La Serena</c:v>
                </c:pt>
                <c:pt idx="9">
                  <c:v>Los Ángeles</c:v>
                </c:pt>
                <c:pt idx="10">
                  <c:v>Maipú</c:v>
                </c:pt>
                <c:pt idx="11">
                  <c:v>Nivel Central</c:v>
                </c:pt>
                <c:pt idx="12">
                  <c:v>Osorno</c:v>
                </c:pt>
                <c:pt idx="13">
                  <c:v>Puerto Montt</c:v>
                </c:pt>
                <c:pt idx="14">
                  <c:v>Rancagua</c:v>
                </c:pt>
                <c:pt idx="15">
                  <c:v>San Antonio</c:v>
                </c:pt>
                <c:pt idx="16">
                  <c:v>San Bernardo</c:v>
                </c:pt>
                <c:pt idx="17">
                  <c:v>San Felipe</c:v>
                </c:pt>
                <c:pt idx="18">
                  <c:v>San Fernando</c:v>
                </c:pt>
                <c:pt idx="19">
                  <c:v>San Joaquín</c:v>
                </c:pt>
                <c:pt idx="20">
                  <c:v>Stgo Norte</c:v>
                </c:pt>
                <c:pt idx="21">
                  <c:v>Talca</c:v>
                </c:pt>
                <c:pt idx="22">
                  <c:v>Temuco</c:v>
                </c:pt>
                <c:pt idx="23">
                  <c:v>Valparaíso</c:v>
                </c:pt>
                <c:pt idx="24">
                  <c:v>Viña del Mar</c:v>
                </c:pt>
              </c:strCache>
            </c:strRef>
          </c:cat>
          <c:val>
            <c:numRef>
              <c:f>'Input Agua'!$C$8:$AA$8</c:f>
              <c:numCache>
                <c:formatCode>0</c:formatCode>
                <c:ptCount val="25"/>
                <c:pt idx="0">
                  <c:v>2969</c:v>
                </c:pt>
                <c:pt idx="1">
                  <c:v>7987</c:v>
                </c:pt>
                <c:pt idx="2">
                  <c:v>11396.599999999999</c:v>
                </c:pt>
                <c:pt idx="3">
                  <c:v>0</c:v>
                </c:pt>
                <c:pt idx="4">
                  <c:v>1791</c:v>
                </c:pt>
                <c:pt idx="5">
                  <c:v>428</c:v>
                </c:pt>
                <c:pt idx="6">
                  <c:v>9661</c:v>
                </c:pt>
                <c:pt idx="7">
                  <c:v>2251</c:v>
                </c:pt>
                <c:pt idx="8">
                  <c:v>0</c:v>
                </c:pt>
                <c:pt idx="9">
                  <c:v>2357</c:v>
                </c:pt>
                <c:pt idx="10">
                  <c:v>3561.5</c:v>
                </c:pt>
                <c:pt idx="11">
                  <c:v>2971</c:v>
                </c:pt>
                <c:pt idx="12">
                  <c:v>1634</c:v>
                </c:pt>
                <c:pt idx="13">
                  <c:v>3941</c:v>
                </c:pt>
                <c:pt idx="14">
                  <c:v>6345</c:v>
                </c:pt>
                <c:pt idx="15">
                  <c:v>1357</c:v>
                </c:pt>
                <c:pt idx="16">
                  <c:v>1022</c:v>
                </c:pt>
                <c:pt idx="17">
                  <c:v>4517</c:v>
                </c:pt>
                <c:pt idx="18">
                  <c:v>9620</c:v>
                </c:pt>
                <c:pt idx="19">
                  <c:v>7872</c:v>
                </c:pt>
                <c:pt idx="20">
                  <c:v>2217</c:v>
                </c:pt>
                <c:pt idx="21">
                  <c:v>2387</c:v>
                </c:pt>
                <c:pt idx="22">
                  <c:v>2549</c:v>
                </c:pt>
                <c:pt idx="23">
                  <c:v>837</c:v>
                </c:pt>
                <c:pt idx="24">
                  <c:v>4158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{"Consumo 2025 (m3)"}</c15:sqref>
                        </c15:formulaRef>
                      </c:ext>
                    </c:extLst>
                    <c:strCache>
                      <c:ptCount val="1"/>
                      <c:pt idx="0">
                        <c:v>Consumo 2025 (m3)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5737-4264-BB2E-DF31EF6900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03223048"/>
        <c:axId val="1817858056"/>
      </c:barChart>
      <c:lineChart>
        <c:grouping val="standard"/>
        <c:varyColors val="0"/>
        <c:ser>
          <c:idx val="6"/>
          <c:order val="3"/>
          <c:spPr>
            <a:ln w="12700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squar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  <a:prstDash val="solid"/>
              </a:ln>
              <a:effectLst/>
            </c:spPr>
          </c:marker>
          <c:cat>
            <c:strRef>
              <c:f>'Input Agua'!$C$1:$AA$1</c:f>
              <c:strCache>
                <c:ptCount val="25"/>
                <c:pt idx="0">
                  <c:v>Antofagasta</c:v>
                </c:pt>
                <c:pt idx="1">
                  <c:v>Barrio Universitario</c:v>
                </c:pt>
                <c:pt idx="2">
                  <c:v>Bellavista</c:v>
                </c:pt>
                <c:pt idx="3">
                  <c:v>Calama</c:v>
                </c:pt>
                <c:pt idx="4">
                  <c:v>Castro</c:v>
                </c:pt>
                <c:pt idx="5">
                  <c:v>Chillán</c:v>
                </c:pt>
                <c:pt idx="6">
                  <c:v>Concepción</c:v>
                </c:pt>
                <c:pt idx="7">
                  <c:v>Curicó</c:v>
                </c:pt>
                <c:pt idx="8">
                  <c:v>La Serena</c:v>
                </c:pt>
                <c:pt idx="9">
                  <c:v>Los Ángeles</c:v>
                </c:pt>
                <c:pt idx="10">
                  <c:v>Maipú</c:v>
                </c:pt>
                <c:pt idx="11">
                  <c:v>Nivel Central</c:v>
                </c:pt>
                <c:pt idx="12">
                  <c:v>Osorno</c:v>
                </c:pt>
                <c:pt idx="13">
                  <c:v>Puerto Montt</c:v>
                </c:pt>
                <c:pt idx="14">
                  <c:v>Rancagua</c:v>
                </c:pt>
                <c:pt idx="15">
                  <c:v>San Antonio</c:v>
                </c:pt>
                <c:pt idx="16">
                  <c:v>San Bernardo</c:v>
                </c:pt>
                <c:pt idx="17">
                  <c:v>San Felipe</c:v>
                </c:pt>
                <c:pt idx="18">
                  <c:v>San Fernando</c:v>
                </c:pt>
                <c:pt idx="19">
                  <c:v>San Joaquín</c:v>
                </c:pt>
                <c:pt idx="20">
                  <c:v>Stgo Norte</c:v>
                </c:pt>
                <c:pt idx="21">
                  <c:v>Talca</c:v>
                </c:pt>
                <c:pt idx="22">
                  <c:v>Temuco</c:v>
                </c:pt>
                <c:pt idx="23">
                  <c:v>Valparaíso</c:v>
                </c:pt>
                <c:pt idx="24">
                  <c:v>Viña del Mar</c:v>
                </c:pt>
              </c:strCache>
            </c:strRef>
          </c:cat>
          <c:val>
            <c:numRef>
              <c:f>'Input Agua'!$C$4:$AA$4</c:f>
              <c:numCache>
                <c:formatCode>General</c:formatCode>
                <c:ptCount val="25"/>
                <c:pt idx="0">
                  <c:v>4350</c:v>
                </c:pt>
                <c:pt idx="1">
                  <c:v>7555</c:v>
                </c:pt>
                <c:pt idx="2">
                  <c:v>9650</c:v>
                </c:pt>
                <c:pt idx="3">
                  <c:v>2463</c:v>
                </c:pt>
                <c:pt idx="4">
                  <c:v>1226</c:v>
                </c:pt>
                <c:pt idx="5">
                  <c:v>315</c:v>
                </c:pt>
                <c:pt idx="6">
                  <c:v>3836</c:v>
                </c:pt>
                <c:pt idx="7">
                  <c:v>2214</c:v>
                </c:pt>
                <c:pt idx="8">
                  <c:v>4608</c:v>
                </c:pt>
                <c:pt idx="9">
                  <c:v>2888</c:v>
                </c:pt>
                <c:pt idx="10">
                  <c:v>2173</c:v>
                </c:pt>
                <c:pt idx="11">
                  <c:v>637</c:v>
                </c:pt>
                <c:pt idx="12">
                  <c:v>2068</c:v>
                </c:pt>
                <c:pt idx="13">
                  <c:v>2580</c:v>
                </c:pt>
                <c:pt idx="14">
                  <c:v>5686</c:v>
                </c:pt>
                <c:pt idx="15">
                  <c:v>1762</c:v>
                </c:pt>
                <c:pt idx="16">
                  <c:v>1821</c:v>
                </c:pt>
                <c:pt idx="17">
                  <c:v>3456</c:v>
                </c:pt>
                <c:pt idx="18">
                  <c:v>2630</c:v>
                </c:pt>
                <c:pt idx="19">
                  <c:v>5201</c:v>
                </c:pt>
                <c:pt idx="20">
                  <c:v>2152</c:v>
                </c:pt>
                <c:pt idx="21">
                  <c:v>1874</c:v>
                </c:pt>
                <c:pt idx="22">
                  <c:v>3422</c:v>
                </c:pt>
                <c:pt idx="23">
                  <c:v>1424</c:v>
                </c:pt>
                <c:pt idx="24">
                  <c:v>3829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{"Población"}</c15:sqref>
                        </c15:formulaRef>
                      </c:ext>
                    </c:extLst>
                    <c:strCache>
                      <c:ptCount val="1"/>
                      <c:pt idx="0">
                        <c:v>Población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6-5737-4264-BB2E-DF31EF6900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5865735"/>
        <c:axId val="705850375"/>
      </c:lineChart>
      <c:catAx>
        <c:axId val="1003223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7858056"/>
        <c:crosses val="autoZero"/>
        <c:auto val="1"/>
        <c:lblAlgn val="ctr"/>
        <c:lblOffset val="100"/>
        <c:noMultiLvlLbl val="0"/>
      </c:catAx>
      <c:valAx>
        <c:axId val="1817858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m3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3223048"/>
        <c:crosses val="autoZero"/>
        <c:crossBetween val="between"/>
      </c:valAx>
      <c:valAx>
        <c:axId val="705850375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5865735"/>
        <c:crosses val="max"/>
        <c:crossBetween val="between"/>
      </c:valAx>
      <c:catAx>
        <c:axId val="7058657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585037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CONSUMOS Y COSTOS DE ELECTRICIDAD POR SEDE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Consumo 2023 (kWh)</c:v>
          </c:tx>
          <c:spPr>
            <a:solidFill>
              <a:srgbClr val="61CBF3"/>
            </a:solidFill>
            <a:ln>
              <a:noFill/>
            </a:ln>
            <a:effectLst/>
          </c:spPr>
          <c:invertIfNegative val="0"/>
          <c:cat>
            <c:strRef>
              <c:f>'Input Electricidad'!$C$1:$AA$1</c:f>
              <c:strCache>
                <c:ptCount val="25"/>
                <c:pt idx="0">
                  <c:v>Antofagasta</c:v>
                </c:pt>
                <c:pt idx="1">
                  <c:v>Barrio Universitario</c:v>
                </c:pt>
                <c:pt idx="2">
                  <c:v>Bellavista</c:v>
                </c:pt>
                <c:pt idx="3">
                  <c:v>Calama</c:v>
                </c:pt>
                <c:pt idx="4">
                  <c:v>Castro</c:v>
                </c:pt>
                <c:pt idx="5">
                  <c:v>Chillán</c:v>
                </c:pt>
                <c:pt idx="6">
                  <c:v>Concepción</c:v>
                </c:pt>
                <c:pt idx="7">
                  <c:v>Curicó</c:v>
                </c:pt>
                <c:pt idx="8">
                  <c:v>La Serena</c:v>
                </c:pt>
                <c:pt idx="9">
                  <c:v>Los Ángeles</c:v>
                </c:pt>
                <c:pt idx="10">
                  <c:v>Maipú</c:v>
                </c:pt>
                <c:pt idx="11">
                  <c:v>Nivel Central</c:v>
                </c:pt>
                <c:pt idx="12">
                  <c:v>Osorno</c:v>
                </c:pt>
                <c:pt idx="13">
                  <c:v>Puerto Montt</c:v>
                </c:pt>
                <c:pt idx="14">
                  <c:v>Rancagua</c:v>
                </c:pt>
                <c:pt idx="15">
                  <c:v>San Antonio</c:v>
                </c:pt>
                <c:pt idx="16">
                  <c:v>San Bernardo</c:v>
                </c:pt>
                <c:pt idx="17">
                  <c:v>San Felipe</c:v>
                </c:pt>
                <c:pt idx="18">
                  <c:v>San Fernando</c:v>
                </c:pt>
                <c:pt idx="19">
                  <c:v>San Joaquín</c:v>
                </c:pt>
                <c:pt idx="20">
                  <c:v>Stgo Norte</c:v>
                </c:pt>
                <c:pt idx="21">
                  <c:v>Talca</c:v>
                </c:pt>
                <c:pt idx="22">
                  <c:v>Temuco</c:v>
                </c:pt>
                <c:pt idx="23">
                  <c:v>Valparaíso</c:v>
                </c:pt>
                <c:pt idx="24">
                  <c:v>Viña del Mar</c:v>
                </c:pt>
              </c:strCache>
            </c:strRef>
          </c:cat>
          <c:val>
            <c:numRef>
              <c:f>'Input Electricidad'!$C$2:$AA$2</c:f>
              <c:numCache>
                <c:formatCode>0</c:formatCode>
                <c:ptCount val="25"/>
                <c:pt idx="0">
                  <c:v>314560</c:v>
                </c:pt>
                <c:pt idx="1">
                  <c:v>546731</c:v>
                </c:pt>
                <c:pt idx="2">
                  <c:v>1048557.7499999999</c:v>
                </c:pt>
                <c:pt idx="4">
                  <c:v>108730</c:v>
                </c:pt>
                <c:pt idx="5">
                  <c:v>135646</c:v>
                </c:pt>
                <c:pt idx="6">
                  <c:v>540462.6</c:v>
                </c:pt>
                <c:pt idx="7">
                  <c:v>72242.399999999994</c:v>
                </c:pt>
                <c:pt idx="9">
                  <c:v>125450</c:v>
                </c:pt>
                <c:pt idx="10">
                  <c:v>209740.61000000002</c:v>
                </c:pt>
                <c:pt idx="11">
                  <c:v>407745</c:v>
                </c:pt>
                <c:pt idx="12">
                  <c:v>127990</c:v>
                </c:pt>
                <c:pt idx="13">
                  <c:v>203084</c:v>
                </c:pt>
                <c:pt idx="14">
                  <c:v>330762</c:v>
                </c:pt>
                <c:pt idx="15">
                  <c:v>116320</c:v>
                </c:pt>
                <c:pt idx="16">
                  <c:v>184730</c:v>
                </c:pt>
                <c:pt idx="17">
                  <c:v>164360</c:v>
                </c:pt>
                <c:pt idx="18">
                  <c:v>173700</c:v>
                </c:pt>
                <c:pt idx="19">
                  <c:v>504294</c:v>
                </c:pt>
                <c:pt idx="20">
                  <c:v>204240</c:v>
                </c:pt>
                <c:pt idx="21">
                  <c:v>163022</c:v>
                </c:pt>
                <c:pt idx="22">
                  <c:v>253200</c:v>
                </c:pt>
                <c:pt idx="23">
                  <c:v>149500</c:v>
                </c:pt>
                <c:pt idx="24">
                  <c:v>203280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F3-4D94-AC18-F690D967A37F}"/>
            </c:ext>
          </c:extLst>
        </c:ser>
        <c:ser>
          <c:idx val="2"/>
          <c:order val="2"/>
          <c:tx>
            <c:v>Consumo 2024 (kWh)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'Input Electricidad'!$C$1:$AA$1</c:f>
              <c:strCache>
                <c:ptCount val="25"/>
                <c:pt idx="0">
                  <c:v>Antofagasta</c:v>
                </c:pt>
                <c:pt idx="1">
                  <c:v>Barrio Universitario</c:v>
                </c:pt>
                <c:pt idx="2">
                  <c:v>Bellavista</c:v>
                </c:pt>
                <c:pt idx="3">
                  <c:v>Calama</c:v>
                </c:pt>
                <c:pt idx="4">
                  <c:v>Castro</c:v>
                </c:pt>
                <c:pt idx="5">
                  <c:v>Chillán</c:v>
                </c:pt>
                <c:pt idx="6">
                  <c:v>Concepción</c:v>
                </c:pt>
                <c:pt idx="7">
                  <c:v>Curicó</c:v>
                </c:pt>
                <c:pt idx="8">
                  <c:v>La Serena</c:v>
                </c:pt>
                <c:pt idx="9">
                  <c:v>Los Ángeles</c:v>
                </c:pt>
                <c:pt idx="10">
                  <c:v>Maipú</c:v>
                </c:pt>
                <c:pt idx="11">
                  <c:v>Nivel Central</c:v>
                </c:pt>
                <c:pt idx="12">
                  <c:v>Osorno</c:v>
                </c:pt>
                <c:pt idx="13">
                  <c:v>Puerto Montt</c:v>
                </c:pt>
                <c:pt idx="14">
                  <c:v>Rancagua</c:v>
                </c:pt>
                <c:pt idx="15">
                  <c:v>San Antonio</c:v>
                </c:pt>
                <c:pt idx="16">
                  <c:v>San Bernardo</c:v>
                </c:pt>
                <c:pt idx="17">
                  <c:v>San Felipe</c:v>
                </c:pt>
                <c:pt idx="18">
                  <c:v>San Fernando</c:v>
                </c:pt>
                <c:pt idx="19">
                  <c:v>San Joaquín</c:v>
                </c:pt>
                <c:pt idx="20">
                  <c:v>Stgo Norte</c:v>
                </c:pt>
                <c:pt idx="21">
                  <c:v>Talca</c:v>
                </c:pt>
                <c:pt idx="22">
                  <c:v>Temuco</c:v>
                </c:pt>
                <c:pt idx="23">
                  <c:v>Valparaíso</c:v>
                </c:pt>
                <c:pt idx="24">
                  <c:v>Viña del Mar</c:v>
                </c:pt>
              </c:strCache>
            </c:strRef>
          </c:cat>
          <c:val>
            <c:numRef>
              <c:f>'Input Electricidad'!$C$5:$AA$5</c:f>
              <c:numCache>
                <c:formatCode>0</c:formatCode>
                <c:ptCount val="25"/>
                <c:pt idx="0">
                  <c:v>304680</c:v>
                </c:pt>
                <c:pt idx="1">
                  <c:v>583126</c:v>
                </c:pt>
                <c:pt idx="2">
                  <c:v>1041042.2</c:v>
                </c:pt>
                <c:pt idx="4">
                  <c:v>111720</c:v>
                </c:pt>
                <c:pt idx="5">
                  <c:v>169350</c:v>
                </c:pt>
                <c:pt idx="6">
                  <c:v>567833.4</c:v>
                </c:pt>
                <c:pt idx="7">
                  <c:v>80049.899999999994</c:v>
                </c:pt>
                <c:pt idx="9">
                  <c:v>171539</c:v>
                </c:pt>
                <c:pt idx="10">
                  <c:v>204360.56</c:v>
                </c:pt>
                <c:pt idx="11">
                  <c:v>443863</c:v>
                </c:pt>
                <c:pt idx="12" formatCode="General">
                  <c:v>123635</c:v>
                </c:pt>
                <c:pt idx="13">
                  <c:v>186578</c:v>
                </c:pt>
                <c:pt idx="14" formatCode="General">
                  <c:v>365467</c:v>
                </c:pt>
                <c:pt idx="15" formatCode="General">
                  <c:v>129120</c:v>
                </c:pt>
                <c:pt idx="16" formatCode="General">
                  <c:v>176487</c:v>
                </c:pt>
                <c:pt idx="17" formatCode="General">
                  <c:v>163520</c:v>
                </c:pt>
                <c:pt idx="18" formatCode="General">
                  <c:v>187000</c:v>
                </c:pt>
                <c:pt idx="19" formatCode="General">
                  <c:v>466293</c:v>
                </c:pt>
                <c:pt idx="20" formatCode="General">
                  <c:v>278440</c:v>
                </c:pt>
                <c:pt idx="21" formatCode="General">
                  <c:v>174277</c:v>
                </c:pt>
                <c:pt idx="22" formatCode="General">
                  <c:v>258120</c:v>
                </c:pt>
                <c:pt idx="23" formatCode="General">
                  <c:v>145500</c:v>
                </c:pt>
                <c:pt idx="24" formatCode="General">
                  <c:v>202720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F3-4D94-AC18-F690D967A37F}"/>
            </c:ext>
          </c:extLst>
        </c:ser>
        <c:ser>
          <c:idx val="4"/>
          <c:order val="4"/>
          <c:tx>
            <c:v>Consumo 2025 (kWh)</c:v>
          </c:tx>
          <c:spPr>
            <a:solidFill>
              <a:srgbClr val="145F82"/>
            </a:solidFill>
            <a:ln>
              <a:noFill/>
            </a:ln>
            <a:effectLst/>
          </c:spPr>
          <c:invertIfNegative val="0"/>
          <c:cat>
            <c:strRef>
              <c:f>'Input Electricidad'!$C$1:$AA$1</c:f>
              <c:strCache>
                <c:ptCount val="25"/>
                <c:pt idx="0">
                  <c:v>Antofagasta</c:v>
                </c:pt>
                <c:pt idx="1">
                  <c:v>Barrio Universitario</c:v>
                </c:pt>
                <c:pt idx="2">
                  <c:v>Bellavista</c:v>
                </c:pt>
                <c:pt idx="3">
                  <c:v>Calama</c:v>
                </c:pt>
                <c:pt idx="4">
                  <c:v>Castro</c:v>
                </c:pt>
                <c:pt idx="5">
                  <c:v>Chillán</c:v>
                </c:pt>
                <c:pt idx="6">
                  <c:v>Concepción</c:v>
                </c:pt>
                <c:pt idx="7">
                  <c:v>Curicó</c:v>
                </c:pt>
                <c:pt idx="8">
                  <c:v>La Serena</c:v>
                </c:pt>
                <c:pt idx="9">
                  <c:v>Los Ángeles</c:v>
                </c:pt>
                <c:pt idx="10">
                  <c:v>Maipú</c:v>
                </c:pt>
                <c:pt idx="11">
                  <c:v>Nivel Central</c:v>
                </c:pt>
                <c:pt idx="12">
                  <c:v>Osorno</c:v>
                </c:pt>
                <c:pt idx="13">
                  <c:v>Puerto Montt</c:v>
                </c:pt>
                <c:pt idx="14">
                  <c:v>Rancagua</c:v>
                </c:pt>
                <c:pt idx="15">
                  <c:v>San Antonio</c:v>
                </c:pt>
                <c:pt idx="16">
                  <c:v>San Bernardo</c:v>
                </c:pt>
                <c:pt idx="17">
                  <c:v>San Felipe</c:v>
                </c:pt>
                <c:pt idx="18">
                  <c:v>San Fernando</c:v>
                </c:pt>
                <c:pt idx="19">
                  <c:v>San Joaquín</c:v>
                </c:pt>
                <c:pt idx="20">
                  <c:v>Stgo Norte</c:v>
                </c:pt>
                <c:pt idx="21">
                  <c:v>Talca</c:v>
                </c:pt>
                <c:pt idx="22">
                  <c:v>Temuco</c:v>
                </c:pt>
                <c:pt idx="23">
                  <c:v>Valparaíso</c:v>
                </c:pt>
                <c:pt idx="24">
                  <c:v>Viña del Mar</c:v>
                </c:pt>
              </c:strCache>
            </c:strRef>
          </c:cat>
          <c:val>
            <c:numRef>
              <c:f>'Input Electricidad'!$C$8:$AA$8</c:f>
              <c:numCache>
                <c:formatCode>_-* #,##0_-;\-* #,##0_-;_-* "-"_-;_-@_-</c:formatCode>
                <c:ptCount val="25"/>
                <c:pt idx="0">
                  <c:v>264910</c:v>
                </c:pt>
                <c:pt idx="1">
                  <c:v>517593</c:v>
                </c:pt>
                <c:pt idx="2">
                  <c:v>959495.79999999993</c:v>
                </c:pt>
                <c:pt idx="4">
                  <c:v>86570</c:v>
                </c:pt>
                <c:pt idx="5">
                  <c:v>153450</c:v>
                </c:pt>
                <c:pt idx="6">
                  <c:v>301406</c:v>
                </c:pt>
                <c:pt idx="7">
                  <c:v>78213.279999999999</c:v>
                </c:pt>
                <c:pt idx="9">
                  <c:v>167713</c:v>
                </c:pt>
                <c:pt idx="10">
                  <c:v>0</c:v>
                </c:pt>
                <c:pt idx="11">
                  <c:v>414092</c:v>
                </c:pt>
                <c:pt idx="12">
                  <c:v>108184</c:v>
                </c:pt>
                <c:pt idx="13" formatCode="0">
                  <c:v>163635</c:v>
                </c:pt>
                <c:pt idx="14" formatCode="0">
                  <c:v>327243</c:v>
                </c:pt>
                <c:pt idx="15" formatCode="0">
                  <c:v>105157</c:v>
                </c:pt>
                <c:pt idx="17" formatCode="0">
                  <c:v>163320</c:v>
                </c:pt>
                <c:pt idx="18" formatCode="0">
                  <c:v>181900</c:v>
                </c:pt>
                <c:pt idx="19" formatCode="0">
                  <c:v>439699</c:v>
                </c:pt>
                <c:pt idx="20" formatCode="0">
                  <c:v>205320</c:v>
                </c:pt>
                <c:pt idx="21" formatCode="0">
                  <c:v>159417</c:v>
                </c:pt>
                <c:pt idx="22" formatCode="0">
                  <c:v>269010</c:v>
                </c:pt>
                <c:pt idx="23" formatCode="0">
                  <c:v>145800</c:v>
                </c:pt>
                <c:pt idx="24" formatCode="0">
                  <c:v>200320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F3-4D94-AC18-F690D967A3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03223048"/>
        <c:axId val="1817858056"/>
      </c:barChart>
      <c:lineChart>
        <c:grouping val="standard"/>
        <c:varyColors val="0"/>
        <c:ser>
          <c:idx val="1"/>
          <c:order val="1"/>
          <c:tx>
            <c:strRef>
              <c:f>{"Costos 2023 (CLP$)"}</c:f>
              <c:strCache>
                <c:ptCount val="1"/>
                <c:pt idx="0">
                  <c:v>Costos 2023 (CLP$)</c:v>
                </c:pt>
              </c:strCache>
            </c:strRef>
          </c:tx>
          <c:spPr>
            <a:ln w="12700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squar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  <a:prstDash val="solid"/>
              </a:ln>
              <a:effectLst/>
            </c:spPr>
          </c:marker>
          <c:cat>
            <c:strRef>
              <c:f>'Input Electricidad'!$C$1:$AA$1</c:f>
              <c:strCache>
                <c:ptCount val="25"/>
                <c:pt idx="0">
                  <c:v>Antofagasta</c:v>
                </c:pt>
                <c:pt idx="1">
                  <c:v>Barrio Universitario</c:v>
                </c:pt>
                <c:pt idx="2">
                  <c:v>Bellavista</c:v>
                </c:pt>
                <c:pt idx="3">
                  <c:v>Calama</c:v>
                </c:pt>
                <c:pt idx="4">
                  <c:v>Castro</c:v>
                </c:pt>
                <c:pt idx="5">
                  <c:v>Chillán</c:v>
                </c:pt>
                <c:pt idx="6">
                  <c:v>Concepción</c:v>
                </c:pt>
                <c:pt idx="7">
                  <c:v>Curicó</c:v>
                </c:pt>
                <c:pt idx="8">
                  <c:v>La Serena</c:v>
                </c:pt>
                <c:pt idx="9">
                  <c:v>Los Ángeles</c:v>
                </c:pt>
                <c:pt idx="10">
                  <c:v>Maipú</c:v>
                </c:pt>
                <c:pt idx="11">
                  <c:v>Nivel Central</c:v>
                </c:pt>
                <c:pt idx="12">
                  <c:v>Osorno</c:v>
                </c:pt>
                <c:pt idx="13">
                  <c:v>Puerto Montt</c:v>
                </c:pt>
                <c:pt idx="14">
                  <c:v>Rancagua</c:v>
                </c:pt>
                <c:pt idx="15">
                  <c:v>San Antonio</c:v>
                </c:pt>
                <c:pt idx="16">
                  <c:v>San Bernardo</c:v>
                </c:pt>
                <c:pt idx="17">
                  <c:v>San Felipe</c:v>
                </c:pt>
                <c:pt idx="18">
                  <c:v>San Fernando</c:v>
                </c:pt>
                <c:pt idx="19">
                  <c:v>San Joaquín</c:v>
                </c:pt>
                <c:pt idx="20">
                  <c:v>Stgo Norte</c:v>
                </c:pt>
                <c:pt idx="21">
                  <c:v>Talca</c:v>
                </c:pt>
                <c:pt idx="22">
                  <c:v>Temuco</c:v>
                </c:pt>
                <c:pt idx="23">
                  <c:v>Valparaíso</c:v>
                </c:pt>
                <c:pt idx="24">
                  <c:v>Viña del Mar</c:v>
                </c:pt>
              </c:strCache>
            </c:strRef>
          </c:cat>
          <c:val>
            <c:numRef>
              <c:f>'Input Electricidad'!$C$3:$AA$3</c:f>
              <c:numCache>
                <c:formatCode>_-[$$-409]* #,##0_ ;_-[$$-409]* \-#,##0\ ;_-[$$-409]* "-"??_ ;_-@_ </c:formatCode>
                <c:ptCount val="25"/>
                <c:pt idx="0">
                  <c:v>0</c:v>
                </c:pt>
                <c:pt idx="1">
                  <c:v>28356575</c:v>
                </c:pt>
                <c:pt idx="2">
                  <c:v>140327087.59999999</c:v>
                </c:pt>
                <c:pt idx="4">
                  <c:v>27331700</c:v>
                </c:pt>
                <c:pt idx="5">
                  <c:v>32383944</c:v>
                </c:pt>
                <c:pt idx="6">
                  <c:v>83979300</c:v>
                </c:pt>
                <c:pt idx="7">
                  <c:v>10028149</c:v>
                </c:pt>
                <c:pt idx="9">
                  <c:v>29148700</c:v>
                </c:pt>
                <c:pt idx="10">
                  <c:v>30729404</c:v>
                </c:pt>
                <c:pt idx="11">
                  <c:v>139051389</c:v>
                </c:pt>
                <c:pt idx="12">
                  <c:v>35740600</c:v>
                </c:pt>
                <c:pt idx="13">
                  <c:v>53610545</c:v>
                </c:pt>
                <c:pt idx="14">
                  <c:v>64883004</c:v>
                </c:pt>
                <c:pt idx="15">
                  <c:v>25507610</c:v>
                </c:pt>
                <c:pt idx="16">
                  <c:v>30340887</c:v>
                </c:pt>
                <c:pt idx="17">
                  <c:v>38598383</c:v>
                </c:pt>
                <c:pt idx="18">
                  <c:v>34717000</c:v>
                </c:pt>
                <c:pt idx="19">
                  <c:v>13109578</c:v>
                </c:pt>
                <c:pt idx="20">
                  <c:v>34269859</c:v>
                </c:pt>
                <c:pt idx="21">
                  <c:v>41070600</c:v>
                </c:pt>
                <c:pt idx="22">
                  <c:v>54157800</c:v>
                </c:pt>
                <c:pt idx="23">
                  <c:v>27041959</c:v>
                </c:pt>
                <c:pt idx="24">
                  <c:v>42993900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5F3-4D94-AC18-F690D967A37F}"/>
            </c:ext>
          </c:extLst>
        </c:ser>
        <c:ser>
          <c:idx val="3"/>
          <c:order val="3"/>
          <c:tx>
            <c:strRef>
              <c:f>{"Costos 2024 (CLP$)"}</c:f>
              <c:strCache>
                <c:ptCount val="1"/>
                <c:pt idx="0">
                  <c:v>Costos 2024 (CLP$)</c:v>
                </c:pt>
              </c:strCache>
            </c:strRef>
          </c:tx>
          <c:spPr>
            <a:ln w="12700" cap="rnd">
              <a:solidFill>
                <a:srgbClr val="FFFF00"/>
              </a:solidFill>
              <a:prstDash val="solid"/>
              <a:round/>
            </a:ln>
            <a:effectLst/>
          </c:spPr>
          <c:marker>
            <c:symbol val="square"/>
            <c:size val="5"/>
            <c:spPr>
              <a:solidFill>
                <a:srgbClr val="FFFF00"/>
              </a:solidFill>
              <a:ln w="9525">
                <a:solidFill>
                  <a:srgbClr val="FFFF00"/>
                </a:solidFill>
                <a:prstDash val="solid"/>
              </a:ln>
              <a:effectLst/>
            </c:spPr>
          </c:marker>
          <c:cat>
            <c:strRef>
              <c:f>'Input Electricidad'!$C$1:$AA$1</c:f>
              <c:strCache>
                <c:ptCount val="25"/>
                <c:pt idx="0">
                  <c:v>Antofagasta</c:v>
                </c:pt>
                <c:pt idx="1">
                  <c:v>Barrio Universitario</c:v>
                </c:pt>
                <c:pt idx="2">
                  <c:v>Bellavista</c:v>
                </c:pt>
                <c:pt idx="3">
                  <c:v>Calama</c:v>
                </c:pt>
                <c:pt idx="4">
                  <c:v>Castro</c:v>
                </c:pt>
                <c:pt idx="5">
                  <c:v>Chillán</c:v>
                </c:pt>
                <c:pt idx="6">
                  <c:v>Concepción</c:v>
                </c:pt>
                <c:pt idx="7">
                  <c:v>Curicó</c:v>
                </c:pt>
                <c:pt idx="8">
                  <c:v>La Serena</c:v>
                </c:pt>
                <c:pt idx="9">
                  <c:v>Los Ángeles</c:v>
                </c:pt>
                <c:pt idx="10">
                  <c:v>Maipú</c:v>
                </c:pt>
                <c:pt idx="11">
                  <c:v>Nivel Central</c:v>
                </c:pt>
                <c:pt idx="12">
                  <c:v>Osorno</c:v>
                </c:pt>
                <c:pt idx="13">
                  <c:v>Puerto Montt</c:v>
                </c:pt>
                <c:pt idx="14">
                  <c:v>Rancagua</c:v>
                </c:pt>
                <c:pt idx="15">
                  <c:v>San Antonio</c:v>
                </c:pt>
                <c:pt idx="16">
                  <c:v>San Bernardo</c:v>
                </c:pt>
                <c:pt idx="17">
                  <c:v>San Felipe</c:v>
                </c:pt>
                <c:pt idx="18">
                  <c:v>San Fernando</c:v>
                </c:pt>
                <c:pt idx="19">
                  <c:v>San Joaquín</c:v>
                </c:pt>
                <c:pt idx="20">
                  <c:v>Stgo Norte</c:v>
                </c:pt>
                <c:pt idx="21">
                  <c:v>Talca</c:v>
                </c:pt>
                <c:pt idx="22">
                  <c:v>Temuco</c:v>
                </c:pt>
                <c:pt idx="23">
                  <c:v>Valparaíso</c:v>
                </c:pt>
                <c:pt idx="24">
                  <c:v>Viña del Mar</c:v>
                </c:pt>
              </c:strCache>
            </c:strRef>
          </c:cat>
          <c:val>
            <c:numRef>
              <c:f>'Input Electricidad'!$C$6:$AA$6</c:f>
              <c:numCache>
                <c:formatCode>_-[$$-409]* #,##0_ ;_-[$$-409]* \-#,##0\ ;_-[$$-409]* "-"??_ ;_-@_ 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48324103.699999996</c:v>
                </c:pt>
                <c:pt idx="4">
                  <c:v>0</c:v>
                </c:pt>
                <c:pt idx="5">
                  <c:v>0</c:v>
                </c:pt>
                <c:pt idx="6">
                  <c:v>124908977.5</c:v>
                </c:pt>
                <c:pt idx="7">
                  <c:v>0</c:v>
                </c:pt>
                <c:pt idx="9">
                  <c:v>59140270</c:v>
                </c:pt>
                <c:pt idx="10">
                  <c:v>34053626.810000002</c:v>
                </c:pt>
                <c:pt idx="11">
                  <c:v>22182785</c:v>
                </c:pt>
                <c:pt idx="12" formatCode="0">
                  <c:v>44072258</c:v>
                </c:pt>
                <c:pt idx="13">
                  <c:v>61242000</c:v>
                </c:pt>
                <c:pt idx="14" formatCode="0">
                  <c:v>85328700</c:v>
                </c:pt>
                <c:pt idx="15" formatCode="0">
                  <c:v>36545485</c:v>
                </c:pt>
                <c:pt idx="16" formatCode="0">
                  <c:v>31363210</c:v>
                </c:pt>
                <c:pt idx="17" formatCode="0">
                  <c:v>41391423</c:v>
                </c:pt>
                <c:pt idx="18" formatCode="0">
                  <c:v>47122600</c:v>
                </c:pt>
                <c:pt idx="19" formatCode="0">
                  <c:v>13268216</c:v>
                </c:pt>
                <c:pt idx="20" formatCode="0">
                  <c:v>45551012</c:v>
                </c:pt>
                <c:pt idx="21" formatCode="0">
                  <c:v>62700400</c:v>
                </c:pt>
                <c:pt idx="22" formatCode="0">
                  <c:v>70247400</c:v>
                </c:pt>
                <c:pt idx="23" formatCode="0">
                  <c:v>31960960.5</c:v>
                </c:pt>
                <c:pt idx="24" formatCode="0">
                  <c:v>53298000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5F3-4D94-AC18-F690D967A37F}"/>
            </c:ext>
          </c:extLst>
        </c:ser>
        <c:ser>
          <c:idx val="5"/>
          <c:order val="5"/>
          <c:tx>
            <c:strRef>
              <c:f>{"Costos 2025 (CLP$)"}</c:f>
              <c:strCache>
                <c:ptCount val="1"/>
                <c:pt idx="0">
                  <c:v>Costos 2025 (CLP$)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'Input Electricidad'!$C$1:$AA$1</c:f>
              <c:strCache>
                <c:ptCount val="25"/>
                <c:pt idx="0">
                  <c:v>Antofagasta</c:v>
                </c:pt>
                <c:pt idx="1">
                  <c:v>Barrio Universitario</c:v>
                </c:pt>
                <c:pt idx="2">
                  <c:v>Bellavista</c:v>
                </c:pt>
                <c:pt idx="3">
                  <c:v>Calama</c:v>
                </c:pt>
                <c:pt idx="4">
                  <c:v>Castro</c:v>
                </c:pt>
                <c:pt idx="5">
                  <c:v>Chillán</c:v>
                </c:pt>
                <c:pt idx="6">
                  <c:v>Concepción</c:v>
                </c:pt>
                <c:pt idx="7">
                  <c:v>Curicó</c:v>
                </c:pt>
                <c:pt idx="8">
                  <c:v>La Serena</c:v>
                </c:pt>
                <c:pt idx="9">
                  <c:v>Los Ángeles</c:v>
                </c:pt>
                <c:pt idx="10">
                  <c:v>Maipú</c:v>
                </c:pt>
                <c:pt idx="11">
                  <c:v>Nivel Central</c:v>
                </c:pt>
                <c:pt idx="12">
                  <c:v>Osorno</c:v>
                </c:pt>
                <c:pt idx="13">
                  <c:v>Puerto Montt</c:v>
                </c:pt>
                <c:pt idx="14">
                  <c:v>Rancagua</c:v>
                </c:pt>
                <c:pt idx="15">
                  <c:v>San Antonio</c:v>
                </c:pt>
                <c:pt idx="16">
                  <c:v>San Bernardo</c:v>
                </c:pt>
                <c:pt idx="17">
                  <c:v>San Felipe</c:v>
                </c:pt>
                <c:pt idx="18">
                  <c:v>San Fernando</c:v>
                </c:pt>
                <c:pt idx="19">
                  <c:v>San Joaquín</c:v>
                </c:pt>
                <c:pt idx="20">
                  <c:v>Stgo Norte</c:v>
                </c:pt>
                <c:pt idx="21">
                  <c:v>Talca</c:v>
                </c:pt>
                <c:pt idx="22">
                  <c:v>Temuco</c:v>
                </c:pt>
                <c:pt idx="23">
                  <c:v>Valparaíso</c:v>
                </c:pt>
                <c:pt idx="24">
                  <c:v>Viña del Mar</c:v>
                </c:pt>
              </c:strCache>
            </c:strRef>
          </c:cat>
          <c:val>
            <c:numRef>
              <c:f>'Input Electricidad'!$C$9:$AA$9</c:f>
              <c:numCache>
                <c:formatCode>_-[$$-409]* #,##0_ ;_-[$$-409]* \-#,##0\ ;_-[$$-409]* "-"??_ ;_-@_ 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5F3-4D94-AC18-F690D967A3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5865735"/>
        <c:axId val="705850375"/>
      </c:lineChart>
      <c:catAx>
        <c:axId val="1003223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7858056"/>
        <c:crosses val="autoZero"/>
        <c:auto val="1"/>
        <c:lblAlgn val="ctr"/>
        <c:lblOffset val="100"/>
        <c:noMultiLvlLbl val="0"/>
      </c:catAx>
      <c:valAx>
        <c:axId val="1817858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3223048"/>
        <c:crosses val="autoZero"/>
        <c:crossBetween val="between"/>
      </c:valAx>
      <c:valAx>
        <c:axId val="705850375"/>
        <c:scaling>
          <c:orientation val="minMax"/>
        </c:scaling>
        <c:delete val="0"/>
        <c:axPos val="r"/>
        <c:numFmt formatCode="_-[$$-409]* #,##0_ ;_-[$$-409]* \-#,##0\ ;_-[$$-409]* &quot;-&quot;??_ ;_-@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5865735"/>
        <c:crosses val="max"/>
        <c:crossBetween val="between"/>
      </c:valAx>
      <c:catAx>
        <c:axId val="7058657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585037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CONSUMO DE ELECTRICIDAD VS POBLACIÓN POR SEDE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Consumo 2023 (kWh)</c:v>
          </c:tx>
          <c:spPr>
            <a:solidFill>
              <a:srgbClr val="61CBF3"/>
            </a:solidFill>
            <a:ln>
              <a:noFill/>
            </a:ln>
            <a:effectLst/>
          </c:spPr>
          <c:invertIfNegative val="0"/>
          <c:cat>
            <c:strRef>
              <c:f>'Input Electricidad'!$C$1:$AA$1</c:f>
              <c:strCache>
                <c:ptCount val="25"/>
                <c:pt idx="0">
                  <c:v>Antofagasta</c:v>
                </c:pt>
                <c:pt idx="1">
                  <c:v>Barrio Universitario</c:v>
                </c:pt>
                <c:pt idx="2">
                  <c:v>Bellavista</c:v>
                </c:pt>
                <c:pt idx="3">
                  <c:v>Calama</c:v>
                </c:pt>
                <c:pt idx="4">
                  <c:v>Castro</c:v>
                </c:pt>
                <c:pt idx="5">
                  <c:v>Chillán</c:v>
                </c:pt>
                <c:pt idx="6">
                  <c:v>Concepción</c:v>
                </c:pt>
                <c:pt idx="7">
                  <c:v>Curicó</c:v>
                </c:pt>
                <c:pt idx="8">
                  <c:v>La Serena</c:v>
                </c:pt>
                <c:pt idx="9">
                  <c:v>Los Ángeles</c:v>
                </c:pt>
                <c:pt idx="10">
                  <c:v>Maipú</c:v>
                </c:pt>
                <c:pt idx="11">
                  <c:v>Nivel Central</c:v>
                </c:pt>
                <c:pt idx="12">
                  <c:v>Osorno</c:v>
                </c:pt>
                <c:pt idx="13">
                  <c:v>Puerto Montt</c:v>
                </c:pt>
                <c:pt idx="14">
                  <c:v>Rancagua</c:v>
                </c:pt>
                <c:pt idx="15">
                  <c:v>San Antonio</c:v>
                </c:pt>
                <c:pt idx="16">
                  <c:v>San Bernardo</c:v>
                </c:pt>
                <c:pt idx="17">
                  <c:v>San Felipe</c:v>
                </c:pt>
                <c:pt idx="18">
                  <c:v>San Fernando</c:v>
                </c:pt>
                <c:pt idx="19">
                  <c:v>San Joaquín</c:v>
                </c:pt>
                <c:pt idx="20">
                  <c:v>Stgo Norte</c:v>
                </c:pt>
                <c:pt idx="21">
                  <c:v>Talca</c:v>
                </c:pt>
                <c:pt idx="22">
                  <c:v>Temuco</c:v>
                </c:pt>
                <c:pt idx="23">
                  <c:v>Valparaíso</c:v>
                </c:pt>
                <c:pt idx="24">
                  <c:v>Viña del Mar</c:v>
                </c:pt>
              </c:strCache>
            </c:strRef>
          </c:cat>
          <c:val>
            <c:numRef>
              <c:f>'Input Electricidad'!$C$2:$AA$2</c:f>
              <c:numCache>
                <c:formatCode>0</c:formatCode>
                <c:ptCount val="25"/>
                <c:pt idx="0">
                  <c:v>314560</c:v>
                </c:pt>
                <c:pt idx="1">
                  <c:v>546731</c:v>
                </c:pt>
                <c:pt idx="2">
                  <c:v>1048557.7499999999</c:v>
                </c:pt>
                <c:pt idx="4">
                  <c:v>108730</c:v>
                </c:pt>
                <c:pt idx="5">
                  <c:v>135646</c:v>
                </c:pt>
                <c:pt idx="6">
                  <c:v>540462.6</c:v>
                </c:pt>
                <c:pt idx="7">
                  <c:v>72242.399999999994</c:v>
                </c:pt>
                <c:pt idx="9">
                  <c:v>125450</c:v>
                </c:pt>
                <c:pt idx="10">
                  <c:v>209740.61000000002</c:v>
                </c:pt>
                <c:pt idx="11">
                  <c:v>407745</c:v>
                </c:pt>
                <c:pt idx="12">
                  <c:v>127990</c:v>
                </c:pt>
                <c:pt idx="13">
                  <c:v>203084</c:v>
                </c:pt>
                <c:pt idx="14">
                  <c:v>330762</c:v>
                </c:pt>
                <c:pt idx="15">
                  <c:v>116320</c:v>
                </c:pt>
                <c:pt idx="16">
                  <c:v>184730</c:v>
                </c:pt>
                <c:pt idx="17">
                  <c:v>164360</c:v>
                </c:pt>
                <c:pt idx="18">
                  <c:v>173700</c:v>
                </c:pt>
                <c:pt idx="19">
                  <c:v>504294</c:v>
                </c:pt>
                <c:pt idx="20">
                  <c:v>204240</c:v>
                </c:pt>
                <c:pt idx="21">
                  <c:v>163022</c:v>
                </c:pt>
                <c:pt idx="22">
                  <c:v>253200</c:v>
                </c:pt>
                <c:pt idx="23">
                  <c:v>149500</c:v>
                </c:pt>
                <c:pt idx="24">
                  <c:v>203280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FB-43DF-B55C-1E6343BBF25C}"/>
            </c:ext>
          </c:extLst>
        </c:ser>
        <c:ser>
          <c:idx val="2"/>
          <c:order val="1"/>
          <c:tx>
            <c:v>Consumo 2024 (kWh)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'Input Electricidad'!$C$1:$AA$1</c:f>
              <c:strCache>
                <c:ptCount val="25"/>
                <c:pt idx="0">
                  <c:v>Antofagasta</c:v>
                </c:pt>
                <c:pt idx="1">
                  <c:v>Barrio Universitario</c:v>
                </c:pt>
                <c:pt idx="2">
                  <c:v>Bellavista</c:v>
                </c:pt>
                <c:pt idx="3">
                  <c:v>Calama</c:v>
                </c:pt>
                <c:pt idx="4">
                  <c:v>Castro</c:v>
                </c:pt>
                <c:pt idx="5">
                  <c:v>Chillán</c:v>
                </c:pt>
                <c:pt idx="6">
                  <c:v>Concepción</c:v>
                </c:pt>
                <c:pt idx="7">
                  <c:v>Curicó</c:v>
                </c:pt>
                <c:pt idx="8">
                  <c:v>La Serena</c:v>
                </c:pt>
                <c:pt idx="9">
                  <c:v>Los Ángeles</c:v>
                </c:pt>
                <c:pt idx="10">
                  <c:v>Maipú</c:v>
                </c:pt>
                <c:pt idx="11">
                  <c:v>Nivel Central</c:v>
                </c:pt>
                <c:pt idx="12">
                  <c:v>Osorno</c:v>
                </c:pt>
                <c:pt idx="13">
                  <c:v>Puerto Montt</c:v>
                </c:pt>
                <c:pt idx="14">
                  <c:v>Rancagua</c:v>
                </c:pt>
                <c:pt idx="15">
                  <c:v>San Antonio</c:v>
                </c:pt>
                <c:pt idx="16">
                  <c:v>San Bernardo</c:v>
                </c:pt>
                <c:pt idx="17">
                  <c:v>San Felipe</c:v>
                </c:pt>
                <c:pt idx="18">
                  <c:v>San Fernando</c:v>
                </c:pt>
                <c:pt idx="19">
                  <c:v>San Joaquín</c:v>
                </c:pt>
                <c:pt idx="20">
                  <c:v>Stgo Norte</c:v>
                </c:pt>
                <c:pt idx="21">
                  <c:v>Talca</c:v>
                </c:pt>
                <c:pt idx="22">
                  <c:v>Temuco</c:v>
                </c:pt>
                <c:pt idx="23">
                  <c:v>Valparaíso</c:v>
                </c:pt>
                <c:pt idx="24">
                  <c:v>Viña del Mar</c:v>
                </c:pt>
              </c:strCache>
            </c:strRef>
          </c:cat>
          <c:val>
            <c:numRef>
              <c:f>'Input Electricidad'!$C$5:$AA$5</c:f>
              <c:numCache>
                <c:formatCode>0</c:formatCode>
                <c:ptCount val="25"/>
                <c:pt idx="0">
                  <c:v>304680</c:v>
                </c:pt>
                <c:pt idx="1">
                  <c:v>583126</c:v>
                </c:pt>
                <c:pt idx="2">
                  <c:v>1041042.2</c:v>
                </c:pt>
                <c:pt idx="4">
                  <c:v>111720</c:v>
                </c:pt>
                <c:pt idx="5">
                  <c:v>169350</c:v>
                </c:pt>
                <c:pt idx="6">
                  <c:v>567833.4</c:v>
                </c:pt>
                <c:pt idx="7">
                  <c:v>80049.899999999994</c:v>
                </c:pt>
                <c:pt idx="9">
                  <c:v>171539</c:v>
                </c:pt>
                <c:pt idx="10">
                  <c:v>204360.56</c:v>
                </c:pt>
                <c:pt idx="11">
                  <c:v>443863</c:v>
                </c:pt>
                <c:pt idx="12" formatCode="General">
                  <c:v>123635</c:v>
                </c:pt>
                <c:pt idx="13">
                  <c:v>186578</c:v>
                </c:pt>
                <c:pt idx="14" formatCode="General">
                  <c:v>365467</c:v>
                </c:pt>
                <c:pt idx="15" formatCode="General">
                  <c:v>129120</c:v>
                </c:pt>
                <c:pt idx="16" formatCode="General">
                  <c:v>176487</c:v>
                </c:pt>
                <c:pt idx="17" formatCode="General">
                  <c:v>163520</c:v>
                </c:pt>
                <c:pt idx="18" formatCode="General">
                  <c:v>187000</c:v>
                </c:pt>
                <c:pt idx="19" formatCode="General">
                  <c:v>466293</c:v>
                </c:pt>
                <c:pt idx="20" formatCode="General">
                  <c:v>278440</c:v>
                </c:pt>
                <c:pt idx="21" formatCode="General">
                  <c:v>174277</c:v>
                </c:pt>
                <c:pt idx="22" formatCode="General">
                  <c:v>258120</c:v>
                </c:pt>
                <c:pt idx="23" formatCode="General">
                  <c:v>145500</c:v>
                </c:pt>
                <c:pt idx="24" formatCode="General">
                  <c:v>202720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FB-43DF-B55C-1E6343BBF25C}"/>
            </c:ext>
          </c:extLst>
        </c:ser>
        <c:ser>
          <c:idx val="4"/>
          <c:order val="2"/>
          <c:tx>
            <c:v>Consumo 2025 (kWh)</c:v>
          </c:tx>
          <c:spPr>
            <a:solidFill>
              <a:srgbClr val="0E2841"/>
            </a:solidFill>
            <a:ln w="12700">
              <a:solidFill>
                <a:srgbClr val="0E2841"/>
              </a:solidFill>
              <a:prstDash val="solid"/>
            </a:ln>
            <a:effectLst/>
          </c:spPr>
          <c:invertIfNegative val="0"/>
          <c:cat>
            <c:strRef>
              <c:f>'Input Electricidad'!$C$1:$AA$1</c:f>
              <c:strCache>
                <c:ptCount val="25"/>
                <c:pt idx="0">
                  <c:v>Antofagasta</c:v>
                </c:pt>
                <c:pt idx="1">
                  <c:v>Barrio Universitario</c:v>
                </c:pt>
                <c:pt idx="2">
                  <c:v>Bellavista</c:v>
                </c:pt>
                <c:pt idx="3">
                  <c:v>Calama</c:v>
                </c:pt>
                <c:pt idx="4">
                  <c:v>Castro</c:v>
                </c:pt>
                <c:pt idx="5">
                  <c:v>Chillán</c:v>
                </c:pt>
                <c:pt idx="6">
                  <c:v>Concepción</c:v>
                </c:pt>
                <c:pt idx="7">
                  <c:v>Curicó</c:v>
                </c:pt>
                <c:pt idx="8">
                  <c:v>La Serena</c:v>
                </c:pt>
                <c:pt idx="9">
                  <c:v>Los Ángeles</c:v>
                </c:pt>
                <c:pt idx="10">
                  <c:v>Maipú</c:v>
                </c:pt>
                <c:pt idx="11">
                  <c:v>Nivel Central</c:v>
                </c:pt>
                <c:pt idx="12">
                  <c:v>Osorno</c:v>
                </c:pt>
                <c:pt idx="13">
                  <c:v>Puerto Montt</c:v>
                </c:pt>
                <c:pt idx="14">
                  <c:v>Rancagua</c:v>
                </c:pt>
                <c:pt idx="15">
                  <c:v>San Antonio</c:v>
                </c:pt>
                <c:pt idx="16">
                  <c:v>San Bernardo</c:v>
                </c:pt>
                <c:pt idx="17">
                  <c:v>San Felipe</c:v>
                </c:pt>
                <c:pt idx="18">
                  <c:v>San Fernando</c:v>
                </c:pt>
                <c:pt idx="19">
                  <c:v>San Joaquín</c:v>
                </c:pt>
                <c:pt idx="20">
                  <c:v>Stgo Norte</c:v>
                </c:pt>
                <c:pt idx="21">
                  <c:v>Talca</c:v>
                </c:pt>
                <c:pt idx="22">
                  <c:v>Temuco</c:v>
                </c:pt>
                <c:pt idx="23">
                  <c:v>Valparaíso</c:v>
                </c:pt>
                <c:pt idx="24">
                  <c:v>Viña del Mar</c:v>
                </c:pt>
              </c:strCache>
            </c:strRef>
          </c:cat>
          <c:val>
            <c:numRef>
              <c:f>'Input Electricidad'!$C$8:$AA$8</c:f>
              <c:numCache>
                <c:formatCode>_-* #,##0_-;\-* #,##0_-;_-* "-"_-;_-@_-</c:formatCode>
                <c:ptCount val="25"/>
                <c:pt idx="0">
                  <c:v>264910</c:v>
                </c:pt>
                <c:pt idx="1">
                  <c:v>517593</c:v>
                </c:pt>
                <c:pt idx="2">
                  <c:v>959495.79999999993</c:v>
                </c:pt>
                <c:pt idx="4">
                  <c:v>86570</c:v>
                </c:pt>
                <c:pt idx="5">
                  <c:v>153450</c:v>
                </c:pt>
                <c:pt idx="6">
                  <c:v>301406</c:v>
                </c:pt>
                <c:pt idx="7">
                  <c:v>78213.279999999999</c:v>
                </c:pt>
                <c:pt idx="9">
                  <c:v>167713</c:v>
                </c:pt>
                <c:pt idx="10">
                  <c:v>0</c:v>
                </c:pt>
                <c:pt idx="11">
                  <c:v>414092</c:v>
                </c:pt>
                <c:pt idx="12">
                  <c:v>108184</c:v>
                </c:pt>
                <c:pt idx="13" formatCode="0">
                  <c:v>163635</c:v>
                </c:pt>
                <c:pt idx="14" formatCode="0">
                  <c:v>327243</c:v>
                </c:pt>
                <c:pt idx="15" formatCode="0">
                  <c:v>105157</c:v>
                </c:pt>
                <c:pt idx="17" formatCode="0">
                  <c:v>163320</c:v>
                </c:pt>
                <c:pt idx="18" formatCode="0">
                  <c:v>181900</c:v>
                </c:pt>
                <c:pt idx="19" formatCode="0">
                  <c:v>439699</c:v>
                </c:pt>
                <c:pt idx="20" formatCode="0">
                  <c:v>205320</c:v>
                </c:pt>
                <c:pt idx="21" formatCode="0">
                  <c:v>159417</c:v>
                </c:pt>
                <c:pt idx="22" formatCode="0">
                  <c:v>269010</c:v>
                </c:pt>
                <c:pt idx="23" formatCode="0">
                  <c:v>145800</c:v>
                </c:pt>
                <c:pt idx="24" formatCode="0">
                  <c:v>200320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FB-43DF-B55C-1E6343BBF2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03223048"/>
        <c:axId val="1817858056"/>
      </c:barChart>
      <c:lineChart>
        <c:grouping val="standard"/>
        <c:varyColors val="0"/>
        <c:ser>
          <c:idx val="6"/>
          <c:order val="3"/>
          <c:tx>
            <c:strRef>
              <c:f>{"Población"}</c:f>
              <c:strCache>
                <c:ptCount val="1"/>
                <c:pt idx="0">
                  <c:v>Población</c:v>
                </c:pt>
              </c:strCache>
            </c:strRef>
          </c:tx>
          <c:spPr>
            <a:ln w="12700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squar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  <a:prstDash val="solid"/>
              </a:ln>
              <a:effectLst/>
            </c:spPr>
          </c:marker>
          <c:cat>
            <c:strRef>
              <c:f>'Input Electricidad'!$C$1:$AA$1</c:f>
              <c:strCache>
                <c:ptCount val="25"/>
                <c:pt idx="0">
                  <c:v>Antofagasta</c:v>
                </c:pt>
                <c:pt idx="1">
                  <c:v>Barrio Universitario</c:v>
                </c:pt>
                <c:pt idx="2">
                  <c:v>Bellavista</c:v>
                </c:pt>
                <c:pt idx="3">
                  <c:v>Calama</c:v>
                </c:pt>
                <c:pt idx="4">
                  <c:v>Castro</c:v>
                </c:pt>
                <c:pt idx="5">
                  <c:v>Chillán</c:v>
                </c:pt>
                <c:pt idx="6">
                  <c:v>Concepción</c:v>
                </c:pt>
                <c:pt idx="7">
                  <c:v>Curicó</c:v>
                </c:pt>
                <c:pt idx="8">
                  <c:v>La Serena</c:v>
                </c:pt>
                <c:pt idx="9">
                  <c:v>Los Ángeles</c:v>
                </c:pt>
                <c:pt idx="10">
                  <c:v>Maipú</c:v>
                </c:pt>
                <c:pt idx="11">
                  <c:v>Nivel Central</c:v>
                </c:pt>
                <c:pt idx="12">
                  <c:v>Osorno</c:v>
                </c:pt>
                <c:pt idx="13">
                  <c:v>Puerto Montt</c:v>
                </c:pt>
                <c:pt idx="14">
                  <c:v>Rancagua</c:v>
                </c:pt>
                <c:pt idx="15">
                  <c:v>San Antonio</c:v>
                </c:pt>
                <c:pt idx="16">
                  <c:v>San Bernardo</c:v>
                </c:pt>
                <c:pt idx="17">
                  <c:v>San Felipe</c:v>
                </c:pt>
                <c:pt idx="18">
                  <c:v>San Fernando</c:v>
                </c:pt>
                <c:pt idx="19">
                  <c:v>San Joaquín</c:v>
                </c:pt>
                <c:pt idx="20">
                  <c:v>Stgo Norte</c:v>
                </c:pt>
                <c:pt idx="21">
                  <c:v>Talca</c:v>
                </c:pt>
                <c:pt idx="22">
                  <c:v>Temuco</c:v>
                </c:pt>
                <c:pt idx="23">
                  <c:v>Valparaíso</c:v>
                </c:pt>
                <c:pt idx="24">
                  <c:v>Viña del Mar</c:v>
                </c:pt>
              </c:strCache>
            </c:strRef>
          </c:cat>
          <c:val>
            <c:numRef>
              <c:f>'Input Electricidad'!$C$4:$AA$4</c:f>
              <c:numCache>
                <c:formatCode>General</c:formatCode>
                <c:ptCount val="25"/>
                <c:pt idx="0">
                  <c:v>4350</c:v>
                </c:pt>
                <c:pt idx="1">
                  <c:v>7555</c:v>
                </c:pt>
                <c:pt idx="2">
                  <c:v>9650</c:v>
                </c:pt>
                <c:pt idx="3">
                  <c:v>2463</c:v>
                </c:pt>
                <c:pt idx="4">
                  <c:v>1226</c:v>
                </c:pt>
                <c:pt idx="5">
                  <c:v>315</c:v>
                </c:pt>
                <c:pt idx="6">
                  <c:v>3836</c:v>
                </c:pt>
                <c:pt idx="7">
                  <c:v>2214</c:v>
                </c:pt>
                <c:pt idx="8">
                  <c:v>4608</c:v>
                </c:pt>
                <c:pt idx="9">
                  <c:v>2888</c:v>
                </c:pt>
                <c:pt idx="10">
                  <c:v>2173</c:v>
                </c:pt>
                <c:pt idx="11">
                  <c:v>637</c:v>
                </c:pt>
                <c:pt idx="12">
                  <c:v>2068</c:v>
                </c:pt>
                <c:pt idx="13">
                  <c:v>2580</c:v>
                </c:pt>
                <c:pt idx="14">
                  <c:v>5686</c:v>
                </c:pt>
                <c:pt idx="15">
                  <c:v>1762</c:v>
                </c:pt>
                <c:pt idx="16">
                  <c:v>1821</c:v>
                </c:pt>
                <c:pt idx="17">
                  <c:v>3456</c:v>
                </c:pt>
                <c:pt idx="18">
                  <c:v>2630</c:v>
                </c:pt>
                <c:pt idx="19">
                  <c:v>5201</c:v>
                </c:pt>
                <c:pt idx="20">
                  <c:v>2152</c:v>
                </c:pt>
                <c:pt idx="21">
                  <c:v>1874</c:v>
                </c:pt>
                <c:pt idx="22">
                  <c:v>3422</c:v>
                </c:pt>
                <c:pt idx="23">
                  <c:v>1424</c:v>
                </c:pt>
                <c:pt idx="24">
                  <c:v>3829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9FB-43DF-B55C-1E6343BBF2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5865735"/>
        <c:axId val="705850375"/>
      </c:lineChart>
      <c:catAx>
        <c:axId val="1003223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7858056"/>
        <c:crosses val="autoZero"/>
        <c:auto val="1"/>
        <c:lblAlgn val="ctr"/>
        <c:lblOffset val="100"/>
        <c:noMultiLvlLbl val="0"/>
      </c:catAx>
      <c:valAx>
        <c:axId val="1817858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3223048"/>
        <c:crosses val="autoZero"/>
        <c:crossBetween val="between"/>
      </c:valAx>
      <c:valAx>
        <c:axId val="705850375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5865735"/>
        <c:crosses val="max"/>
        <c:crossBetween val="between"/>
      </c:valAx>
      <c:catAx>
        <c:axId val="7058657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585037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CONSUMO Y COSTOS ELECTRICO INSTITUCIONAL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Consumo 2023 (kWh)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Electricidad!$D$1:$O$1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Electricidad!#REF!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E2-43D9-86F0-3E7CC3B7631E}"/>
            </c:ext>
          </c:extLst>
        </c:ser>
        <c:ser>
          <c:idx val="2"/>
          <c:order val="2"/>
          <c:tx>
            <c:v>Consumo 2024 (kWh)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Electricidad!$D$1:$O$1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Electricidad!#REF!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E2-43D9-86F0-3E7CC3B7631E}"/>
            </c:ext>
          </c:extLst>
        </c:ser>
        <c:ser>
          <c:idx val="4"/>
          <c:order val="4"/>
          <c:tx>
            <c:v>Consumo 2025 (kWh)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Electricidad!$D$1:$O$1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Electricidad!#REF!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E2-43D9-86F0-3E7CC3B763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6383623"/>
        <c:axId val="46385671"/>
      </c:barChart>
      <c:lineChart>
        <c:grouping val="standard"/>
        <c:varyColors val="0"/>
        <c:ser>
          <c:idx val="1"/>
          <c:order val="1"/>
          <c:tx>
            <c:strRef>
              <c:f>{"Costos 2023 (CLP$)"}</c:f>
              <c:strCache>
                <c:ptCount val="1"/>
                <c:pt idx="0">
                  <c:v>Costos 2023 (CLP$)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  <a:prstDash val="solid"/>
              </a:ln>
              <a:effectLst/>
            </c:spPr>
          </c:marker>
          <c:cat>
            <c:strRef>
              <c:f>Electricidad!$D$1:$O$1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Electricidad!#REF!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AE2-43D9-86F0-3E7CC3B7631E}"/>
            </c:ext>
          </c:extLst>
        </c:ser>
        <c:ser>
          <c:idx val="3"/>
          <c:order val="3"/>
          <c:tx>
            <c:strRef>
              <c:f>{"Costos 2024 ($CLP)"}</c:f>
              <c:strCache>
                <c:ptCount val="1"/>
                <c:pt idx="0">
                  <c:v>Costos 2024 ($CLP)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FFFF00"/>
              </a:solidFill>
              <a:ln w="9525">
                <a:solidFill>
                  <a:srgbClr val="FFFF00"/>
                </a:solidFill>
                <a:prstDash val="solid"/>
              </a:ln>
              <a:effectLst/>
            </c:spPr>
          </c:marker>
          <c:cat>
            <c:strRef>
              <c:f>Electricidad!$D$1:$O$1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Electricidad!#REF!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AE2-43D9-86F0-3E7CC3B7631E}"/>
            </c:ext>
          </c:extLst>
        </c:ser>
        <c:ser>
          <c:idx val="5"/>
          <c:order val="5"/>
          <c:tx>
            <c:strRef>
              <c:f>{"Costos 2025 (CLP$)"}</c:f>
              <c:strCache>
                <c:ptCount val="1"/>
                <c:pt idx="0">
                  <c:v>Costos 2025 (CLP$)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Electricidad!$D$1:$O$1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Electricidad!#REF!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AE2-43D9-86F0-3E7CC3B763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8002056"/>
        <c:axId val="2131527176"/>
      </c:lineChart>
      <c:catAx>
        <c:axId val="46383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385671"/>
        <c:crosses val="autoZero"/>
        <c:auto val="1"/>
        <c:lblAlgn val="ctr"/>
        <c:lblOffset val="100"/>
        <c:noMultiLvlLbl val="0"/>
      </c:catAx>
      <c:valAx>
        <c:axId val="46385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383623"/>
        <c:crosses val="autoZero"/>
        <c:crossBetween val="between"/>
      </c:valAx>
      <c:valAx>
        <c:axId val="213152717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8002056"/>
        <c:crosses val="max"/>
        <c:crossBetween val="between"/>
      </c:valAx>
      <c:catAx>
        <c:axId val="1128002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315271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CONSUMO Y COSTOS AGUA SEDES APL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Consumo 2023 (m3)</c:v>
          </c:tx>
          <c:spPr>
            <a:solidFill>
              <a:srgbClr val="0F9ED5"/>
            </a:solidFill>
            <a:ln>
              <a:noFill/>
            </a:ln>
            <a:effectLst/>
          </c:spPr>
          <c:invertIfNegative val="0"/>
          <c:cat>
            <c:strRef>
              <c:f>'Consumo de agua Sedes APL '!$D$1:$O$1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'Consumo de agua Sedes APL '!$D$26:$O$26</c:f>
              <c:numCache>
                <c:formatCode>0</c:formatCode>
                <c:ptCount val="12"/>
                <c:pt idx="0">
                  <c:v>2178</c:v>
                </c:pt>
                <c:pt idx="1">
                  <c:v>1593</c:v>
                </c:pt>
                <c:pt idx="2">
                  <c:v>2093</c:v>
                </c:pt>
                <c:pt idx="3">
                  <c:v>2765</c:v>
                </c:pt>
                <c:pt idx="4">
                  <c:v>2461</c:v>
                </c:pt>
                <c:pt idx="5">
                  <c:v>2068</c:v>
                </c:pt>
                <c:pt idx="6">
                  <c:v>2066</c:v>
                </c:pt>
                <c:pt idx="7">
                  <c:v>1506</c:v>
                </c:pt>
                <c:pt idx="8">
                  <c:v>2021</c:v>
                </c:pt>
                <c:pt idx="9">
                  <c:v>1649</c:v>
                </c:pt>
                <c:pt idx="10">
                  <c:v>2778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0C-42A8-BE59-8E9306E3A369}"/>
            </c:ext>
          </c:extLst>
        </c:ser>
        <c:ser>
          <c:idx val="2"/>
          <c:order val="2"/>
          <c:tx>
            <c:v>Consumo 2024 (m3)</c:v>
          </c:tx>
          <c:spPr>
            <a:solidFill>
              <a:srgbClr val="61CBF3"/>
            </a:solidFill>
            <a:ln>
              <a:noFill/>
            </a:ln>
            <a:effectLst/>
          </c:spPr>
          <c:invertIfNegative val="0"/>
          <c:cat>
            <c:strRef>
              <c:f>'Consumo de agua Sedes APL '!$D$1:$O$1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'Consumo de agua Sedes APL '!$D$28:$O$28</c:f>
              <c:numCache>
                <c:formatCode>0</c:formatCode>
                <c:ptCount val="12"/>
                <c:pt idx="0">
                  <c:v>1605</c:v>
                </c:pt>
                <c:pt idx="1">
                  <c:v>1506</c:v>
                </c:pt>
                <c:pt idx="2">
                  <c:v>1902</c:v>
                </c:pt>
                <c:pt idx="3">
                  <c:v>2533</c:v>
                </c:pt>
                <c:pt idx="4">
                  <c:v>2610</c:v>
                </c:pt>
                <c:pt idx="5">
                  <c:v>1785</c:v>
                </c:pt>
                <c:pt idx="6">
                  <c:v>1697</c:v>
                </c:pt>
                <c:pt idx="7">
                  <c:v>1324</c:v>
                </c:pt>
                <c:pt idx="8">
                  <c:v>1730</c:v>
                </c:pt>
                <c:pt idx="9">
                  <c:v>1782</c:v>
                </c:pt>
                <c:pt idx="10">
                  <c:v>1848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0C-42A8-BE59-8E9306E3A369}"/>
            </c:ext>
          </c:extLst>
        </c:ser>
        <c:ser>
          <c:idx val="4"/>
          <c:order val="4"/>
          <c:tx>
            <c:v>Consumo 2025 (m3)</c:v>
          </c:tx>
          <c:spPr>
            <a:solidFill>
              <a:srgbClr val="145F82"/>
            </a:solidFill>
            <a:ln>
              <a:noFill/>
            </a:ln>
            <a:effectLst/>
          </c:spPr>
          <c:invertIfNegative val="0"/>
          <c:cat>
            <c:strRef>
              <c:f>'Consumo de agua Sedes APL '!$D$1:$O$1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'Consumo de agua Sedes APL '!$D$30:$O$30</c:f>
              <c:numCache>
                <c:formatCode>_-* #,##0_-;\-* #,##0_-;_-* "-"_-;_-@_-</c:formatCode>
                <c:ptCount val="12"/>
                <c:pt idx="0">
                  <c:v>1371</c:v>
                </c:pt>
                <c:pt idx="1">
                  <c:v>883</c:v>
                </c:pt>
                <c:pt idx="2">
                  <c:v>1791</c:v>
                </c:pt>
                <c:pt idx="3">
                  <c:v>1962</c:v>
                </c:pt>
                <c:pt idx="4">
                  <c:v>2290</c:v>
                </c:pt>
                <c:pt idx="5">
                  <c:v>2093</c:v>
                </c:pt>
                <c:pt idx="6">
                  <c:v>1845</c:v>
                </c:pt>
                <c:pt idx="7">
                  <c:v>1290</c:v>
                </c:pt>
                <c:pt idx="8">
                  <c:v>1452</c:v>
                </c:pt>
                <c:pt idx="9">
                  <c:v>1809</c:v>
                </c:pt>
                <c:pt idx="10">
                  <c:v>1637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0C-42A8-BE59-8E9306E3A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6383623"/>
        <c:axId val="46385671"/>
      </c:barChart>
      <c:lineChart>
        <c:grouping val="standard"/>
        <c:varyColors val="0"/>
        <c:ser>
          <c:idx val="1"/>
          <c:order val="1"/>
          <c:tx>
            <c:v>Costos 2023 (CLP)</c:v>
          </c:tx>
          <c:spPr>
            <a:ln w="19050" cap="rnd">
              <a:solidFill>
                <a:srgbClr val="FFFF00"/>
              </a:solidFill>
              <a:prstDash val="solid"/>
              <a:round/>
            </a:ln>
            <a:effectLst/>
          </c:spPr>
          <c:marker>
            <c:symbol val="square"/>
            <c:size val="5"/>
            <c:spPr>
              <a:solidFill>
                <a:srgbClr val="FFFF00"/>
              </a:solidFill>
              <a:ln w="6350">
                <a:solidFill>
                  <a:srgbClr val="FFFF00"/>
                </a:solidFill>
                <a:prstDash val="solid"/>
              </a:ln>
              <a:effectLst/>
            </c:spPr>
          </c:marker>
          <c:cat>
            <c:strRef>
              <c:f>'Consumo de agua Sedes APL '!$D$1:$O$1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'Consumo de agua Sedes APL '!$D$27:$O$27</c:f>
              <c:numCache>
                <c:formatCode>_-[$$-409]* #,##0_ ;_-[$$-409]* \-#,##0\ ;_-[$$-409]* "-"??_ ;_-@_ </c:formatCode>
                <c:ptCount val="12"/>
                <c:pt idx="0">
                  <c:v>3438259</c:v>
                </c:pt>
                <c:pt idx="1">
                  <c:v>2229025</c:v>
                </c:pt>
                <c:pt idx="2">
                  <c:v>3367779</c:v>
                </c:pt>
                <c:pt idx="3">
                  <c:v>4305878</c:v>
                </c:pt>
                <c:pt idx="4">
                  <c:v>3832091</c:v>
                </c:pt>
                <c:pt idx="5">
                  <c:v>3259355</c:v>
                </c:pt>
                <c:pt idx="6">
                  <c:v>3135514</c:v>
                </c:pt>
                <c:pt idx="7">
                  <c:v>2418333</c:v>
                </c:pt>
                <c:pt idx="8">
                  <c:v>3137073</c:v>
                </c:pt>
                <c:pt idx="9">
                  <c:v>2563790</c:v>
                </c:pt>
                <c:pt idx="10">
                  <c:v>5591002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20C-42A8-BE59-8E9306E3A369}"/>
            </c:ext>
          </c:extLst>
        </c:ser>
        <c:ser>
          <c:idx val="3"/>
          <c:order val="3"/>
          <c:tx>
            <c:v>Costos 2024 (CLP)</c:v>
          </c:tx>
          <c:spPr>
            <a:ln w="19050" cap="rnd">
              <a:solidFill>
                <a:srgbClr val="92D050"/>
              </a:solidFill>
              <a:prstDash val="solid"/>
              <a:round/>
            </a:ln>
            <a:effectLst/>
          </c:spPr>
          <c:marker>
            <c:symbol val="squar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  <a:prstDash val="solid"/>
              </a:ln>
              <a:effectLst/>
            </c:spPr>
          </c:marker>
          <c:cat>
            <c:strRef>
              <c:f>'Consumo de agua Sedes APL '!$D$1:$O$1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'Consumo de agua Sedes APL '!$D$29:$O$29</c:f>
              <c:numCache>
                <c:formatCode>_-[$$-409]* #,##0_ ;_-[$$-409]* \-#,##0\ ;_-[$$-409]* "-"??_ ;_-@_ </c:formatCode>
                <c:ptCount val="12"/>
                <c:pt idx="0">
                  <c:v>2750435</c:v>
                </c:pt>
                <c:pt idx="1">
                  <c:v>2297943</c:v>
                </c:pt>
                <c:pt idx="2">
                  <c:v>2441659</c:v>
                </c:pt>
                <c:pt idx="3">
                  <c:v>3560027</c:v>
                </c:pt>
                <c:pt idx="4">
                  <c:v>4254334</c:v>
                </c:pt>
                <c:pt idx="5">
                  <c:v>2873105</c:v>
                </c:pt>
                <c:pt idx="6">
                  <c:v>2886791</c:v>
                </c:pt>
                <c:pt idx="7">
                  <c:v>2879726</c:v>
                </c:pt>
                <c:pt idx="8">
                  <c:v>2776792</c:v>
                </c:pt>
                <c:pt idx="9">
                  <c:v>2366233</c:v>
                </c:pt>
                <c:pt idx="10">
                  <c:v>1993175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20C-42A8-BE59-8E9306E3A369}"/>
            </c:ext>
          </c:extLst>
        </c:ser>
        <c:ser>
          <c:idx val="5"/>
          <c:order val="5"/>
          <c:tx>
            <c:v>Costos 2025 (CLP)</c:v>
          </c:tx>
          <c:spPr>
            <a:ln w="19050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squar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  <a:prstDash val="solid"/>
              </a:ln>
              <a:effectLst/>
            </c:spPr>
          </c:marker>
          <c:cat>
            <c:strRef>
              <c:f>'Consumo de agua Sedes APL '!$D$1:$O$1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'Consumo de agua Sedes APL '!$D$31:$O$31</c:f>
              <c:numCache>
                <c:formatCode>_-[$$-409]* #,##0_ ;_-[$$-409]* \-#,##0\ ;_-[$$-409]* "-"??_ ;_-@_ </c:formatCode>
                <c:ptCount val="12"/>
                <c:pt idx="0">
                  <c:v>2246273</c:v>
                </c:pt>
                <c:pt idx="1">
                  <c:v>1479082</c:v>
                </c:pt>
                <c:pt idx="2">
                  <c:v>3000130</c:v>
                </c:pt>
                <c:pt idx="3">
                  <c:v>3773402</c:v>
                </c:pt>
                <c:pt idx="4">
                  <c:v>3837943</c:v>
                </c:pt>
                <c:pt idx="5">
                  <c:v>3491848</c:v>
                </c:pt>
                <c:pt idx="6">
                  <c:v>2507361</c:v>
                </c:pt>
                <c:pt idx="7">
                  <c:v>2146012</c:v>
                </c:pt>
                <c:pt idx="8">
                  <c:v>2696591</c:v>
                </c:pt>
                <c:pt idx="9">
                  <c:v>3313982</c:v>
                </c:pt>
                <c:pt idx="10">
                  <c:v>2855195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20C-42A8-BE59-8E9306E3A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4377223"/>
        <c:axId val="1674357767"/>
      </c:lineChart>
      <c:catAx>
        <c:axId val="46383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385671"/>
        <c:crosses val="autoZero"/>
        <c:auto val="1"/>
        <c:lblAlgn val="ctr"/>
        <c:lblOffset val="100"/>
        <c:noMultiLvlLbl val="0"/>
      </c:catAx>
      <c:valAx>
        <c:axId val="46385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m3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383623"/>
        <c:crosses val="autoZero"/>
        <c:crossBetween val="between"/>
      </c:valAx>
      <c:valAx>
        <c:axId val="1674357767"/>
        <c:scaling>
          <c:orientation val="minMax"/>
        </c:scaling>
        <c:delete val="0"/>
        <c:axPos val="r"/>
        <c:numFmt formatCode="_-[$$-409]* #,##0_ ;_-[$$-409]* \-#,##0\ ;_-[$$-409]* &quot;-&quot;??_ ;_-@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4377223"/>
        <c:crosses val="max"/>
        <c:crossBetween val="between"/>
      </c:valAx>
      <c:catAx>
        <c:axId val="16743772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7435776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11</xdr:row>
      <xdr:rowOff>0</xdr:rowOff>
    </xdr:from>
    <xdr:to>
      <xdr:col>7</xdr:col>
      <xdr:colOff>762000</xdr:colOff>
      <xdr:row>37</xdr:row>
      <xdr:rowOff>66675</xdr:rowOff>
    </xdr:to>
    <xdr:graphicFrame macro="">
      <xdr:nvGraphicFramePr>
        <xdr:cNvPr id="89" name="Gráfico 3">
          <a:extLst>
            <a:ext uri="{FF2B5EF4-FFF2-40B4-BE49-F238E27FC236}">
              <a16:creationId xmlns:a16="http://schemas.microsoft.com/office/drawing/2014/main" id="{A63B794D-DF0D-4705-D822-A5E3737A34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247650</xdr:colOff>
      <xdr:row>38</xdr:row>
      <xdr:rowOff>0</xdr:rowOff>
    </xdr:from>
    <xdr:to>
      <xdr:col>7</xdr:col>
      <xdr:colOff>857250</xdr:colOff>
      <xdr:row>64</xdr:row>
      <xdr:rowOff>66675</xdr:rowOff>
    </xdr:to>
    <xdr:graphicFrame macro="">
      <xdr:nvGraphicFramePr>
        <xdr:cNvPr id="91" name="Gráfico 4">
          <a:extLst>
            <a:ext uri="{FF2B5EF4-FFF2-40B4-BE49-F238E27FC236}">
              <a16:creationId xmlns:a16="http://schemas.microsoft.com/office/drawing/2014/main" id="{69415EFC-58C2-4281-A8E2-BE5DBD9ACDD2}"/>
            </a:ext>
            <a:ext uri="{147F2762-F138-4A5C-976F-8EAC2B608ADB}">
              <a16:predDERef xmlns:a16="http://schemas.microsoft.com/office/drawing/2014/main" pred="{A63B794D-DF0D-4705-D822-A5E3737A34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11</xdr:row>
      <xdr:rowOff>0</xdr:rowOff>
    </xdr:from>
    <xdr:to>
      <xdr:col>7</xdr:col>
      <xdr:colOff>762000</xdr:colOff>
      <xdr:row>37</xdr:row>
      <xdr:rowOff>66675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DD36C8BC-2BC4-45BB-849A-039B6C8AF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11</xdr:row>
      <xdr:rowOff>0</xdr:rowOff>
    </xdr:from>
    <xdr:to>
      <xdr:col>15</xdr:col>
      <xdr:colOff>609600</xdr:colOff>
      <xdr:row>37</xdr:row>
      <xdr:rowOff>66675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A107C35B-FFA6-44FA-A362-EF95AD612753}"/>
            </a:ext>
            <a:ext uri="{147F2762-F138-4A5C-976F-8EAC2B608ADB}">
              <a16:predDERef xmlns:a16="http://schemas.microsoft.com/office/drawing/2014/main" pred="{DD36C8BC-2BC4-45BB-849A-039B6C8AF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-25527000</xdr:rowOff>
    </xdr:from>
    <xdr:to>
      <xdr:col>8</xdr:col>
      <xdr:colOff>180975</xdr:colOff>
      <xdr:row>0</xdr:row>
      <xdr:rowOff>-20507325</xdr:rowOff>
    </xdr:to>
    <xdr:graphicFrame macro="">
      <xdr:nvGraphicFramePr>
        <xdr:cNvPr id="55" name="Gráfico 34">
          <a:extLst>
            <a:ext uri="{FF2B5EF4-FFF2-40B4-BE49-F238E27FC236}">
              <a16:creationId xmlns:a16="http://schemas.microsoft.com/office/drawing/2014/main" id="{8E46A14B-4D2A-42FE-BAD3-F3C3AE4CCE01}"/>
            </a:ext>
            <a:ext uri="{147F2762-F138-4A5C-976F-8EAC2B608ADB}">
              <a16:predDERef xmlns:a16="http://schemas.microsoft.com/office/drawing/2014/main" pred="{D3B59254-EB30-416F-BE52-194067B84C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19050</xdr:rowOff>
    </xdr:from>
    <xdr:to>
      <xdr:col>8</xdr:col>
      <xdr:colOff>866775</xdr:colOff>
      <xdr:row>56</xdr:row>
      <xdr:rowOff>95250</xdr:rowOff>
    </xdr:to>
    <xdr:graphicFrame macro="">
      <xdr:nvGraphicFramePr>
        <xdr:cNvPr id="7" name="Gráfico 1">
          <a:extLst>
            <a:ext uri="{FF2B5EF4-FFF2-40B4-BE49-F238E27FC236}">
              <a16:creationId xmlns:a16="http://schemas.microsoft.com/office/drawing/2014/main" id="{D7741655-558B-41FB-A7EF-1E111D7C3165}"/>
            </a:ext>
            <a:ext uri="{147F2762-F138-4A5C-976F-8EAC2B608ADB}">
              <a16:predDERef xmlns:a16="http://schemas.microsoft.com/office/drawing/2014/main" pred="{E42F6A04-4462-4B1D-8526-8D35C949F7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Vicente Andres Cordero Reyes" id="{4DDB728F-3394-4E71-A38C-D2330103D46A}" userId="S::vicente.cordero@aiep.cl::f46bae44-570f-460a-903a-f85f7d76f409" providerId="AD"/>
  <person displayName="Javiera Gutierrez Berrios" id="{FA6D0682-29A2-4AFF-B60A-3904A9F9814B}" userId="S::javiera.gutierrez.b@aiep.cl::132b3f12-54a4-41e4-a37a-16ec46f9976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9" dT="2025-01-28T12:50:39.06" personId="{4DDB728F-3394-4E71-A38C-D2330103D46A}" id="{B848D979-3078-4D10-B958-C6EDA0A3FB74}">
    <text xml:space="preserve">Prorrateo al mes siguiente. Se cobró el mes de julio
</text>
  </threadedComment>
  <threadedComment ref="H29" dT="2025-02-27T19:40:37.13" personId="{FA6D0682-29A2-4AFF-B60A-3904A9F9814B}" id="{98397277-D09C-4203-9A66-4A494E691EF5}">
    <text>modalidad de simplificación, sin consumo</text>
  </threadedComment>
  <threadedComment ref="I29" dT="2025-02-27T19:40:57.79" personId="{FA6D0682-29A2-4AFF-B60A-3904A9F9814B}" id="{EBD72F3C-2E41-4505-AA93-824B092EF6A0}">
    <text>modalidad de simplificación, sin consumo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N2" dT="2026-01-06T20:54:45.31" personId="{FA6D0682-29A2-4AFF-B60A-3904A9F9814B}" id="{0A440A8D-6E33-4D38-8C46-14E8F0860D5A}">
    <text>193+109=302</text>
  </threadedComment>
  <threadedComment ref="O2" dT="2026-01-06T20:52:49.11" personId="{FA6D0682-29A2-4AFF-B60A-3904A9F9814B}" id="{2FE3CB7C-9C43-47BA-86A1-EE0CA436D2EB}">
    <text xml:space="preserve">64+78=142 </text>
  </threadedComment>
  <threadedComment ref="O3" dT="2026-01-06T19:53:40.87" personId="{4DDB728F-3394-4E71-A38C-D2330103D46A}" id="{9C8966D6-A495-434A-8DE4-2FBF5F5211A7}">
    <text>Total a pagar en ambas boletas: $0 CLP¨por reajuste.</text>
  </threadedComment>
  <threadedComment ref="N20" dT="2025-01-02T21:26:11.12" personId="{4DDB728F-3394-4E71-A38C-D2330103D46A}" id="{E514B3B3-4C19-45EE-BC3D-59A5506447DD}">
    <text>Original 1050 Nov y 1443 Dic. Se modifican con el promedio anual 2023 con el fin de no alterar tanto las barras del gráfico.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69BF5-0159-40B4-B095-DDAD850CE6FE}">
  <dimension ref="A1:Q86"/>
  <sheetViews>
    <sheetView zoomScaleNormal="100" workbookViewId="0">
      <pane xSplit="3" ySplit="1" topLeftCell="D2" activePane="bottomRight" state="frozen"/>
      <selection pane="topRight"/>
      <selection pane="bottomLeft"/>
      <selection pane="bottomRight" activeCell="A74" sqref="A74:A76"/>
    </sheetView>
  </sheetViews>
  <sheetFormatPr baseColWidth="10" defaultColWidth="8.81640625" defaultRowHeight="14.5" x14ac:dyDescent="0.35"/>
  <cols>
    <col min="1" max="1" width="19" customWidth="1"/>
    <col min="2" max="2" width="9.453125" customWidth="1"/>
    <col min="3" max="3" width="18.26953125" customWidth="1"/>
    <col min="4" max="7" width="14.81640625" customWidth="1"/>
    <col min="8" max="8" width="13.7265625" customWidth="1"/>
    <col min="9" max="16" width="14.81640625" customWidth="1"/>
    <col min="17" max="17" width="13.54296875" customWidth="1"/>
    <col min="18" max="18" width="13.7265625" customWidth="1"/>
    <col min="19" max="19" width="15.7265625" bestFit="1" customWidth="1"/>
  </cols>
  <sheetData>
    <row r="1" spans="1:17" s="2" customFormat="1" ht="30.75" customHeight="1" x14ac:dyDescent="0.35">
      <c r="A1" s="13" t="s">
        <v>0</v>
      </c>
      <c r="B1" s="14" t="s">
        <v>1</v>
      </c>
      <c r="C1" s="14" t="s">
        <v>2</v>
      </c>
      <c r="D1" s="13" t="s">
        <v>3</v>
      </c>
      <c r="E1" s="15" t="s">
        <v>4</v>
      </c>
      <c r="F1" s="13" t="s">
        <v>5</v>
      </c>
      <c r="G1" s="16" t="s">
        <v>6</v>
      </c>
      <c r="H1" s="15" t="s">
        <v>7</v>
      </c>
      <c r="I1" s="13" t="s">
        <v>8</v>
      </c>
      <c r="J1" s="16" t="s">
        <v>9</v>
      </c>
      <c r="K1" s="15" t="s">
        <v>10</v>
      </c>
      <c r="L1" s="14" t="s">
        <v>11</v>
      </c>
      <c r="M1" s="13" t="s">
        <v>12</v>
      </c>
      <c r="N1" s="16" t="s">
        <v>13</v>
      </c>
      <c r="O1" s="16" t="s">
        <v>14</v>
      </c>
      <c r="P1" s="13" t="s">
        <v>15</v>
      </c>
      <c r="Q1" s="17" t="s">
        <v>16</v>
      </c>
    </row>
    <row r="2" spans="1:17" x14ac:dyDescent="0.35">
      <c r="A2" s="174" t="s">
        <v>17</v>
      </c>
      <c r="B2" s="3">
        <v>2023</v>
      </c>
      <c r="C2" s="4" t="s">
        <v>18</v>
      </c>
      <c r="D2" s="20">
        <v>134</v>
      </c>
      <c r="E2" s="21">
        <v>104</v>
      </c>
      <c r="F2" s="21">
        <v>172</v>
      </c>
      <c r="G2" s="21">
        <v>305</v>
      </c>
      <c r="H2" s="21">
        <v>334</v>
      </c>
      <c r="I2" s="21">
        <v>339</v>
      </c>
      <c r="J2" s="21">
        <v>298</v>
      </c>
      <c r="K2" s="21">
        <v>185</v>
      </c>
      <c r="L2" s="21">
        <v>293</v>
      </c>
      <c r="M2" s="21">
        <v>271</v>
      </c>
      <c r="N2" s="21">
        <v>246</v>
      </c>
      <c r="O2" s="21">
        <v>346</v>
      </c>
      <c r="P2" s="41">
        <f>SUM(D2:O2)</f>
        <v>3027</v>
      </c>
      <c r="Q2" s="53" t="s">
        <v>19</v>
      </c>
    </row>
    <row r="3" spans="1:17" x14ac:dyDescent="0.35">
      <c r="A3" s="174"/>
      <c r="B3" s="3">
        <v>2024</v>
      </c>
      <c r="C3" s="7" t="s">
        <v>18</v>
      </c>
      <c r="D3" s="28">
        <v>96</v>
      </c>
      <c r="E3" s="12">
        <v>106</v>
      </c>
      <c r="F3" s="12">
        <v>188</v>
      </c>
      <c r="G3" s="12">
        <v>353</v>
      </c>
      <c r="H3" s="12">
        <v>278</v>
      </c>
      <c r="I3" s="12">
        <v>284</v>
      </c>
      <c r="J3" s="12">
        <v>203</v>
      </c>
      <c r="K3" s="12">
        <f>78+61</f>
        <v>139</v>
      </c>
      <c r="L3" s="12">
        <v>231</v>
      </c>
      <c r="M3" s="12">
        <v>212</v>
      </c>
      <c r="N3" s="12">
        <f>137+84</f>
        <v>221</v>
      </c>
      <c r="O3" s="12">
        <f>130+130</f>
        <v>260</v>
      </c>
      <c r="P3" s="41">
        <f t="shared" ref="P3:P34" si="0">SUM(D3:O3)</f>
        <v>2571</v>
      </c>
      <c r="Q3" s="55">
        <f>(P3-P2)/P2</f>
        <v>-0.15064420218037661</v>
      </c>
    </row>
    <row r="4" spans="1:17" x14ac:dyDescent="0.35">
      <c r="A4" s="174"/>
      <c r="B4" s="3">
        <v>2025</v>
      </c>
      <c r="C4" s="7" t="s">
        <v>18</v>
      </c>
      <c r="D4" s="28">
        <f>83+93</f>
        <v>176</v>
      </c>
      <c r="E4" s="12">
        <f>82+43</f>
        <v>125</v>
      </c>
      <c r="F4" s="12">
        <f>73+41</f>
        <v>114</v>
      </c>
      <c r="G4" s="12">
        <f>176+138</f>
        <v>314</v>
      </c>
      <c r="H4" s="12">
        <f>165+184</f>
        <v>349</v>
      </c>
      <c r="I4" s="12">
        <f>160+181</f>
        <v>341</v>
      </c>
      <c r="J4" s="12">
        <f>0+130+300</f>
        <v>430</v>
      </c>
      <c r="K4" s="12">
        <f>74+117</f>
        <v>191</v>
      </c>
      <c r="L4" s="12">
        <f>153+195</f>
        <v>348</v>
      </c>
      <c r="M4" s="12">
        <f>147+140</f>
        <v>287</v>
      </c>
      <c r="N4" s="12">
        <f>160+134</f>
        <v>294</v>
      </c>
      <c r="O4" s="12"/>
      <c r="P4" s="41">
        <f t="shared" si="0"/>
        <v>2969</v>
      </c>
      <c r="Q4" s="56">
        <f>(P4-P3)/P3</f>
        <v>0.15480357837417347</v>
      </c>
    </row>
    <row r="5" spans="1:17" x14ac:dyDescent="0.35">
      <c r="A5" s="175" t="s">
        <v>21</v>
      </c>
      <c r="B5" s="5">
        <v>2023</v>
      </c>
      <c r="C5" s="6" t="s">
        <v>18</v>
      </c>
      <c r="D5" s="31">
        <f>130+933</f>
        <v>1063</v>
      </c>
      <c r="E5" s="32">
        <v>618</v>
      </c>
      <c r="F5" s="32">
        <v>534</v>
      </c>
      <c r="G5" s="32">
        <v>1037</v>
      </c>
      <c r="H5" s="32">
        <v>2279</v>
      </c>
      <c r="I5" s="32">
        <v>1849</v>
      </c>
      <c r="J5" s="32">
        <v>1134</v>
      </c>
      <c r="K5" s="32">
        <v>659</v>
      </c>
      <c r="L5" s="32">
        <v>1294</v>
      </c>
      <c r="M5" s="32" t="s">
        <v>22</v>
      </c>
      <c r="N5" s="32">
        <v>1642</v>
      </c>
      <c r="O5" s="32">
        <v>1227</v>
      </c>
      <c r="P5" s="41">
        <f t="shared" si="0"/>
        <v>13336</v>
      </c>
      <c r="Q5" s="53" t="s">
        <v>19</v>
      </c>
    </row>
    <row r="6" spans="1:17" x14ac:dyDescent="0.35">
      <c r="A6" s="176"/>
      <c r="B6" s="7">
        <v>2024</v>
      </c>
      <c r="C6" s="7" t="s">
        <v>18</v>
      </c>
      <c r="D6" s="28">
        <f>130+1331</f>
        <v>1461</v>
      </c>
      <c r="E6" s="12">
        <f>130+1301</f>
        <v>1431</v>
      </c>
      <c r="F6" s="12">
        <f>130+632</f>
        <v>762</v>
      </c>
      <c r="G6" s="12">
        <f>130+853</f>
        <v>983</v>
      </c>
      <c r="H6" s="12">
        <f>130+1016</f>
        <v>1146</v>
      </c>
      <c r="I6" s="12">
        <f>130+1084</f>
        <v>1214</v>
      </c>
      <c r="J6" s="12">
        <f>934+130</f>
        <v>1064</v>
      </c>
      <c r="K6" s="12">
        <f>714+130</f>
        <v>844</v>
      </c>
      <c r="L6" s="12">
        <f>130+833</f>
        <v>963</v>
      </c>
      <c r="M6" s="12">
        <v>816</v>
      </c>
      <c r="N6" s="12">
        <f>130+804</f>
        <v>934</v>
      </c>
      <c r="O6" s="12">
        <f>12+130+701</f>
        <v>843</v>
      </c>
      <c r="P6" s="41">
        <f t="shared" si="0"/>
        <v>12461</v>
      </c>
      <c r="Q6" s="55">
        <f>(P6-P5)/P5</f>
        <v>-6.561187762447511E-2</v>
      </c>
    </row>
    <row r="7" spans="1:17" x14ac:dyDescent="0.35">
      <c r="A7" s="177"/>
      <c r="B7" s="34">
        <v>2025</v>
      </c>
      <c r="C7" s="35" t="s">
        <v>18</v>
      </c>
      <c r="D7" s="28">
        <v>347</v>
      </c>
      <c r="E7" s="12">
        <f>151+130+312</f>
        <v>593</v>
      </c>
      <c r="F7" s="116">
        <f>151+126+315</f>
        <v>592</v>
      </c>
      <c r="G7" s="12">
        <f>151+126+1247</f>
        <v>1524</v>
      </c>
      <c r="H7" s="12">
        <f>151+130+819</f>
        <v>1100</v>
      </c>
      <c r="I7" s="12">
        <f>151+130+516</f>
        <v>797</v>
      </c>
      <c r="J7" s="12">
        <f>0+130+586</f>
        <v>716</v>
      </c>
      <c r="K7" s="12">
        <f>0+130+300</f>
        <v>430</v>
      </c>
      <c r="L7" s="12">
        <f>0+130+529</f>
        <v>659</v>
      </c>
      <c r="M7" s="12">
        <f>0+126+488</f>
        <v>614</v>
      </c>
      <c r="N7" s="12">
        <f>0+130+485</f>
        <v>615</v>
      </c>
      <c r="O7" s="12"/>
      <c r="P7" s="41">
        <f t="shared" si="0"/>
        <v>7987</v>
      </c>
      <c r="Q7" s="56">
        <f>(P7-P6)/P6</f>
        <v>-0.35904020544097587</v>
      </c>
    </row>
    <row r="8" spans="1:17" x14ac:dyDescent="0.35">
      <c r="A8" s="171" t="s">
        <v>23</v>
      </c>
      <c r="B8" s="7">
        <v>2023</v>
      </c>
      <c r="C8" s="4" t="s">
        <v>18</v>
      </c>
      <c r="D8" s="20">
        <v>817</v>
      </c>
      <c r="E8" s="21">
        <v>906</v>
      </c>
      <c r="F8" s="21">
        <v>1612</v>
      </c>
      <c r="G8" s="21">
        <v>2066</v>
      </c>
      <c r="H8" s="21">
        <v>2438</v>
      </c>
      <c r="I8" s="21">
        <v>2343</v>
      </c>
      <c r="J8" s="21">
        <v>1736</v>
      </c>
      <c r="K8" s="21">
        <v>1511</v>
      </c>
      <c r="L8" s="21">
        <v>1667</v>
      </c>
      <c r="M8" s="21">
        <v>1408</v>
      </c>
      <c r="N8" s="21">
        <v>1551</v>
      </c>
      <c r="O8" s="21">
        <v>1253</v>
      </c>
      <c r="P8" s="41">
        <f t="shared" si="0"/>
        <v>19308</v>
      </c>
      <c r="Q8" s="53" t="s">
        <v>19</v>
      </c>
    </row>
    <row r="9" spans="1:17" x14ac:dyDescent="0.35">
      <c r="A9" s="172"/>
      <c r="B9" s="7">
        <v>2024</v>
      </c>
      <c r="C9" s="7" t="s">
        <v>18</v>
      </c>
      <c r="D9" s="28">
        <f>660+272+5+3</f>
        <v>940</v>
      </c>
      <c r="E9" s="12">
        <f>586+272+5+5</f>
        <v>868</v>
      </c>
      <c r="F9" s="12">
        <f>1134+272+5+6</f>
        <v>1417</v>
      </c>
      <c r="G9" s="12">
        <f>1623+272+5+12</f>
        <v>1912</v>
      </c>
      <c r="H9" s="12">
        <f>1268+272+5+7</f>
        <v>1552</v>
      </c>
      <c r="I9" s="150">
        <v>1050</v>
      </c>
      <c r="J9" s="12">
        <f>815+5+7</f>
        <v>827</v>
      </c>
      <c r="K9" s="12">
        <f>1006+5+7</f>
        <v>1018</v>
      </c>
      <c r="L9" s="12">
        <f>1390+147+5+9</f>
        <v>1551</v>
      </c>
      <c r="M9" s="12">
        <f>5+15+1382+190</f>
        <v>1592</v>
      </c>
      <c r="N9" s="12">
        <f>1502+357+5+18</f>
        <v>1882</v>
      </c>
      <c r="O9" s="12">
        <f>1372+178+5+35</f>
        <v>1590</v>
      </c>
      <c r="P9" s="41">
        <f t="shared" si="0"/>
        <v>16199</v>
      </c>
      <c r="Q9" s="55">
        <f>(P9-P8)/P8</f>
        <v>-0.16102133830536566</v>
      </c>
    </row>
    <row r="10" spans="1:17" x14ac:dyDescent="0.35">
      <c r="A10" s="172"/>
      <c r="B10" s="3">
        <v>2025</v>
      </c>
      <c r="C10" s="7" t="s">
        <v>18</v>
      </c>
      <c r="D10" s="28">
        <f>765*0.6+118+40</f>
        <v>617</v>
      </c>
      <c r="E10" s="12">
        <f>646*0.6+71+0+0+30</f>
        <v>488.59999999999997</v>
      </c>
      <c r="F10" s="12">
        <f>1195*0.6+22+172</f>
        <v>911</v>
      </c>
      <c r="G10" s="12">
        <f>1762*0.6+570</f>
        <v>1627.2</v>
      </c>
      <c r="H10" s="151">
        <f>1300*0.6+354</f>
        <v>1134</v>
      </c>
      <c r="I10" s="152">
        <f>1297*0.6+217</f>
        <v>995.19999999999993</v>
      </c>
      <c r="J10" s="153">
        <f>1125*0.6+64</f>
        <v>739</v>
      </c>
      <c r="K10" s="12">
        <f>321*0.6+101</f>
        <v>293.60000000000002</v>
      </c>
      <c r="L10" s="12">
        <f>2285*0.6+235</f>
        <v>1606</v>
      </c>
      <c r="M10" s="12">
        <f>1694*0.6+82</f>
        <v>1098.4000000000001</v>
      </c>
      <c r="N10" s="12">
        <f>1443*0.6+136</f>
        <v>1001.8</v>
      </c>
      <c r="O10" s="12">
        <f>1378*0.6+58</f>
        <v>884.8</v>
      </c>
      <c r="P10" s="41">
        <f>SUM(D10:O10)</f>
        <v>11396.599999999999</v>
      </c>
      <c r="Q10" s="56">
        <f>(P10-P9)/P9</f>
        <v>-0.29646274461386513</v>
      </c>
    </row>
    <row r="11" spans="1:17" x14ac:dyDescent="0.35">
      <c r="A11" s="178" t="s">
        <v>24</v>
      </c>
      <c r="B11" s="7">
        <v>2023</v>
      </c>
      <c r="C11" s="4" t="s">
        <v>18</v>
      </c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41">
        <f t="shared" si="0"/>
        <v>0</v>
      </c>
      <c r="Q11" s="53" t="s">
        <v>19</v>
      </c>
    </row>
    <row r="12" spans="1:17" x14ac:dyDescent="0.35">
      <c r="A12" s="177"/>
      <c r="B12" s="7">
        <v>2024</v>
      </c>
      <c r="C12" s="7" t="s">
        <v>18</v>
      </c>
      <c r="D12" s="28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41">
        <f t="shared" si="0"/>
        <v>0</v>
      </c>
      <c r="Q12" s="55" t="e">
        <f>(P12-P11)/P11</f>
        <v>#DIV/0!</v>
      </c>
    </row>
    <row r="13" spans="1:17" x14ac:dyDescent="0.35">
      <c r="A13" s="177"/>
      <c r="B13" s="3">
        <v>2025</v>
      </c>
      <c r="C13" s="7" t="s">
        <v>18</v>
      </c>
      <c r="D13" s="28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41">
        <f t="shared" si="0"/>
        <v>0</v>
      </c>
      <c r="Q13" s="56" t="e">
        <f>(P13-P12)/P12</f>
        <v>#DIV/0!</v>
      </c>
    </row>
    <row r="14" spans="1:17" x14ac:dyDescent="0.35">
      <c r="A14" s="171" t="s">
        <v>25</v>
      </c>
      <c r="B14" s="7">
        <v>2023</v>
      </c>
      <c r="C14" s="4" t="s">
        <v>18</v>
      </c>
      <c r="D14" s="20">
        <v>141</v>
      </c>
      <c r="E14" s="21">
        <v>104</v>
      </c>
      <c r="F14" s="21">
        <v>87</v>
      </c>
      <c r="G14" s="21">
        <v>239</v>
      </c>
      <c r="H14" s="21">
        <v>204</v>
      </c>
      <c r="I14" s="21">
        <v>212</v>
      </c>
      <c r="J14" s="21">
        <v>152</v>
      </c>
      <c r="K14" s="21">
        <v>136</v>
      </c>
      <c r="L14" s="21">
        <v>148</v>
      </c>
      <c r="M14" s="21">
        <v>147</v>
      </c>
      <c r="N14" s="21">
        <v>173</v>
      </c>
      <c r="O14" s="21">
        <v>201</v>
      </c>
      <c r="P14" s="22">
        <f t="shared" si="0"/>
        <v>1944</v>
      </c>
      <c r="Q14" s="53" t="s">
        <v>19</v>
      </c>
    </row>
    <row r="15" spans="1:17" x14ac:dyDescent="0.35">
      <c r="A15" s="172"/>
      <c r="B15" s="7">
        <v>2024</v>
      </c>
      <c r="C15" s="7" t="s">
        <v>18</v>
      </c>
      <c r="D15" s="28">
        <v>152</v>
      </c>
      <c r="E15" s="12">
        <v>122</v>
      </c>
      <c r="F15" s="12">
        <v>118</v>
      </c>
      <c r="G15" s="12">
        <v>181</v>
      </c>
      <c r="H15" s="12">
        <v>177</v>
      </c>
      <c r="I15" s="12">
        <v>153</v>
      </c>
      <c r="J15" s="12">
        <v>153</v>
      </c>
      <c r="K15" s="12">
        <v>96</v>
      </c>
      <c r="L15" s="12">
        <v>174</v>
      </c>
      <c r="M15" s="12">
        <v>124</v>
      </c>
      <c r="N15" s="12">
        <v>157</v>
      </c>
      <c r="O15" s="12">
        <v>170</v>
      </c>
      <c r="P15" s="22">
        <f t="shared" si="0"/>
        <v>1777</v>
      </c>
      <c r="Q15" s="55">
        <f>(P15-P14)/P14</f>
        <v>-8.5905349794238681E-2</v>
      </c>
    </row>
    <row r="16" spans="1:17" x14ac:dyDescent="0.35">
      <c r="A16" s="172"/>
      <c r="B16" s="3">
        <v>2025</v>
      </c>
      <c r="C16" s="7" t="s">
        <v>18</v>
      </c>
      <c r="D16" s="28">
        <v>108</v>
      </c>
      <c r="E16" s="12">
        <v>123</v>
      </c>
      <c r="F16" s="116">
        <v>100</v>
      </c>
      <c r="G16" s="12">
        <v>180</v>
      </c>
      <c r="H16" s="12">
        <v>184</v>
      </c>
      <c r="I16" s="12">
        <v>191</v>
      </c>
      <c r="J16" s="12">
        <v>175</v>
      </c>
      <c r="K16" s="12">
        <v>89</v>
      </c>
      <c r="L16" s="12">
        <v>222</v>
      </c>
      <c r="M16" s="12">
        <v>144</v>
      </c>
      <c r="N16" s="12">
        <v>133</v>
      </c>
      <c r="O16" s="12">
        <v>142</v>
      </c>
      <c r="P16" s="22">
        <f t="shared" si="0"/>
        <v>1791</v>
      </c>
      <c r="Q16" s="56">
        <f>(P16-P15)/P15</f>
        <v>7.878446820483961E-3</v>
      </c>
    </row>
    <row r="17" spans="1:17" x14ac:dyDescent="0.35">
      <c r="A17" s="178" t="s">
        <v>26</v>
      </c>
      <c r="B17" s="7">
        <v>2023</v>
      </c>
      <c r="C17" s="4" t="s">
        <v>18</v>
      </c>
      <c r="D17" s="20">
        <v>18</v>
      </c>
      <c r="E17" s="21">
        <v>18</v>
      </c>
      <c r="F17" s="21">
        <f>45+21+18+11</f>
        <v>95</v>
      </c>
      <c r="G17" s="21">
        <f>26+8+18+11+13</f>
        <v>76</v>
      </c>
      <c r="H17" s="21">
        <f>44+5+18+11+13</f>
        <v>91</v>
      </c>
      <c r="I17" s="21">
        <v>31</v>
      </c>
      <c r="J17" s="21">
        <v>21</v>
      </c>
      <c r="K17" s="21">
        <v>8</v>
      </c>
      <c r="L17" s="21">
        <v>30</v>
      </c>
      <c r="M17" s="21">
        <v>29</v>
      </c>
      <c r="N17" s="21">
        <v>31</v>
      </c>
      <c r="O17" s="21">
        <v>60</v>
      </c>
      <c r="P17" s="41">
        <f t="shared" si="0"/>
        <v>508</v>
      </c>
      <c r="Q17" s="53" t="s">
        <v>19</v>
      </c>
    </row>
    <row r="18" spans="1:17" x14ac:dyDescent="0.35">
      <c r="A18" s="177"/>
      <c r="B18" s="7">
        <v>2024</v>
      </c>
      <c r="C18" s="7" t="s">
        <v>18</v>
      </c>
      <c r="D18" s="28">
        <v>15</v>
      </c>
      <c r="E18" s="12">
        <v>16</v>
      </c>
      <c r="F18" s="12">
        <v>28</v>
      </c>
      <c r="G18" s="12">
        <v>50</v>
      </c>
      <c r="H18" s="12">
        <v>41</v>
      </c>
      <c r="I18" s="12">
        <v>37</v>
      </c>
      <c r="J18" s="12">
        <v>27</v>
      </c>
      <c r="K18" s="12">
        <v>19</v>
      </c>
      <c r="L18" s="12">
        <v>44</v>
      </c>
      <c r="M18" s="12">
        <v>48</v>
      </c>
      <c r="N18" s="12">
        <v>42</v>
      </c>
      <c r="O18" s="12">
        <f>AVERAGE(D18:N18)</f>
        <v>33.363636363636367</v>
      </c>
      <c r="P18" s="41">
        <f t="shared" si="0"/>
        <v>400.36363636363637</v>
      </c>
      <c r="Q18" s="55">
        <f>(P18-P17)/P17</f>
        <v>-0.21188260558339297</v>
      </c>
    </row>
    <row r="19" spans="1:17" x14ac:dyDescent="0.35">
      <c r="A19" s="177"/>
      <c r="B19" s="3">
        <v>2025</v>
      </c>
      <c r="C19" s="7" t="s">
        <v>18</v>
      </c>
      <c r="D19" s="28">
        <v>8</v>
      </c>
      <c r="E19" s="12">
        <v>8</v>
      </c>
      <c r="F19" s="12">
        <v>16</v>
      </c>
      <c r="G19" s="12">
        <v>38</v>
      </c>
      <c r="H19" s="12">
        <v>48</v>
      </c>
      <c r="I19" s="12">
        <v>99</v>
      </c>
      <c r="J19" s="12">
        <v>74</v>
      </c>
      <c r="K19" s="12">
        <v>19</v>
      </c>
      <c r="L19" s="12">
        <v>29</v>
      </c>
      <c r="M19" s="12">
        <v>34</v>
      </c>
      <c r="N19" s="12">
        <v>36</v>
      </c>
      <c r="O19" s="12">
        <v>19</v>
      </c>
      <c r="P19" s="41">
        <f t="shared" si="0"/>
        <v>428</v>
      </c>
      <c r="Q19" s="56">
        <f>(P19-P18)/P18</f>
        <v>6.9028156221616691E-2</v>
      </c>
    </row>
    <row r="20" spans="1:17" x14ac:dyDescent="0.35">
      <c r="A20" s="171" t="s">
        <v>27</v>
      </c>
      <c r="B20" s="7">
        <v>2023</v>
      </c>
      <c r="C20" s="4" t="s">
        <v>18</v>
      </c>
      <c r="D20" s="20">
        <v>192</v>
      </c>
      <c r="E20" s="21">
        <v>430</v>
      </c>
      <c r="F20" s="21">
        <v>137</v>
      </c>
      <c r="G20" s="21">
        <f>76+430</f>
        <v>506</v>
      </c>
      <c r="H20" s="21">
        <v>511</v>
      </c>
      <c r="I20" s="21">
        <v>430</v>
      </c>
      <c r="J20" s="21">
        <v>232</v>
      </c>
      <c r="K20" s="21">
        <v>197</v>
      </c>
      <c r="L20" s="21">
        <v>350</v>
      </c>
      <c r="M20" s="21">
        <v>657</v>
      </c>
      <c r="N20" s="21">
        <v>262</v>
      </c>
      <c r="O20" s="21">
        <v>442</v>
      </c>
      <c r="P20" s="41">
        <f t="shared" si="0"/>
        <v>4346</v>
      </c>
      <c r="Q20" s="53" t="s">
        <v>19</v>
      </c>
    </row>
    <row r="21" spans="1:17" x14ac:dyDescent="0.35">
      <c r="A21" s="172"/>
      <c r="B21" s="7">
        <v>2024</v>
      </c>
      <c r="C21" s="7" t="s">
        <v>18</v>
      </c>
      <c r="D21" s="28">
        <f>101+176</f>
        <v>277</v>
      </c>
      <c r="E21" s="12">
        <f>341+211</f>
        <v>552</v>
      </c>
      <c r="F21" s="12">
        <f>121+274</f>
        <v>395</v>
      </c>
      <c r="G21" s="12">
        <f>274+192</f>
        <v>466</v>
      </c>
      <c r="H21" s="12">
        <f>236+274</f>
        <v>510</v>
      </c>
      <c r="I21" s="12">
        <f>210+274</f>
        <v>484</v>
      </c>
      <c r="J21" s="12">
        <f>192+504</f>
        <v>696</v>
      </c>
      <c r="K21" s="12">
        <f>183+274</f>
        <v>457</v>
      </c>
      <c r="L21" s="12">
        <f>113+274</f>
        <v>387</v>
      </c>
      <c r="M21" s="12">
        <f>274+48</f>
        <v>322</v>
      </c>
      <c r="N21" s="12">
        <f>203+274</f>
        <v>477</v>
      </c>
      <c r="O21" s="12">
        <v>360</v>
      </c>
      <c r="P21" s="41">
        <f t="shared" si="0"/>
        <v>5383</v>
      </c>
      <c r="Q21" s="55">
        <f>(P21-P20)/P20</f>
        <v>0.23861021629084214</v>
      </c>
    </row>
    <row r="22" spans="1:17" x14ac:dyDescent="0.35">
      <c r="A22" s="172"/>
      <c r="B22" s="3">
        <v>2025</v>
      </c>
      <c r="C22" s="7" t="s">
        <v>18</v>
      </c>
      <c r="D22" s="28">
        <f>630+274</f>
        <v>904</v>
      </c>
      <c r="E22" s="12">
        <v>274</v>
      </c>
      <c r="F22" s="12">
        <f>738+274</f>
        <v>1012</v>
      </c>
      <c r="G22" s="12">
        <f>188+274</f>
        <v>462</v>
      </c>
      <c r="H22" s="12">
        <f>73+274</f>
        <v>347</v>
      </c>
      <c r="I22" s="12">
        <f>71+1321</f>
        <v>1392</v>
      </c>
      <c r="J22" s="12">
        <f>334+209</f>
        <v>543</v>
      </c>
      <c r="K22" s="12">
        <f>241+362</f>
        <v>603</v>
      </c>
      <c r="L22" s="12">
        <f>538+266</f>
        <v>804</v>
      </c>
      <c r="M22" s="12">
        <f>679+695</f>
        <v>1374</v>
      </c>
      <c r="N22" s="12">
        <f>817+437</f>
        <v>1254</v>
      </c>
      <c r="O22" s="12">
        <f>232+460</f>
        <v>692</v>
      </c>
      <c r="P22" s="41">
        <f t="shared" si="0"/>
        <v>9661</v>
      </c>
      <c r="Q22" s="56">
        <f>(P22-P21)/P21</f>
        <v>0.79472413152517185</v>
      </c>
    </row>
    <row r="23" spans="1:17" x14ac:dyDescent="0.35">
      <c r="A23" s="178" t="s">
        <v>28</v>
      </c>
      <c r="B23" s="7">
        <v>2023</v>
      </c>
      <c r="C23" s="4" t="s">
        <v>18</v>
      </c>
      <c r="D23" s="20">
        <v>168</v>
      </c>
      <c r="E23" s="21">
        <v>136</v>
      </c>
      <c r="F23" s="21">
        <v>194</v>
      </c>
      <c r="G23" s="21">
        <v>328</v>
      </c>
      <c r="H23" s="21">
        <v>335</v>
      </c>
      <c r="I23" s="21">
        <v>354</v>
      </c>
      <c r="J23" s="21">
        <v>319</v>
      </c>
      <c r="K23" s="21">
        <f>121+87+27+44</f>
        <v>279</v>
      </c>
      <c r="L23" s="21">
        <v>170</v>
      </c>
      <c r="M23" s="21">
        <v>385</v>
      </c>
      <c r="N23" s="154">
        <v>478</v>
      </c>
      <c r="O23" s="21">
        <f>115+48+8+70</f>
        <v>241</v>
      </c>
      <c r="P23" s="22">
        <f t="shared" si="0"/>
        <v>3387</v>
      </c>
      <c r="Q23" s="56" t="s">
        <v>19</v>
      </c>
    </row>
    <row r="24" spans="1:17" x14ac:dyDescent="0.35">
      <c r="A24" s="177"/>
      <c r="B24" s="7">
        <v>2024</v>
      </c>
      <c r="C24" s="7" t="s">
        <v>18</v>
      </c>
      <c r="D24" s="28">
        <f>62+24+9+39</f>
        <v>134</v>
      </c>
      <c r="E24" s="12">
        <f>46+21+10+24</f>
        <v>101</v>
      </c>
      <c r="F24" s="12">
        <f>47+21+10+22</f>
        <v>100</v>
      </c>
      <c r="G24" s="12">
        <f>67+20+9+40</f>
        <v>136</v>
      </c>
      <c r="H24" s="12">
        <f>44+10+85+139</f>
        <v>278</v>
      </c>
      <c r="I24" s="12">
        <f>113+42+9+70</f>
        <v>234</v>
      </c>
      <c r="J24" s="12">
        <f>108+44+9+61</f>
        <v>222</v>
      </c>
      <c r="K24" s="12">
        <f>82+36+10+41</f>
        <v>169</v>
      </c>
      <c r="L24" s="12">
        <f>80+25+8+42</f>
        <v>155</v>
      </c>
      <c r="M24" s="12">
        <f>60+34+8+95</f>
        <v>197</v>
      </c>
      <c r="N24" s="149">
        <f>145+37+1+122</f>
        <v>305</v>
      </c>
      <c r="O24" s="12">
        <f>94+33+12+58</f>
        <v>197</v>
      </c>
      <c r="P24" s="22">
        <f t="shared" si="0"/>
        <v>2228</v>
      </c>
      <c r="Q24" s="55">
        <f>(P24-P23)/P23</f>
        <v>-0.34219072925893118</v>
      </c>
    </row>
    <row r="25" spans="1:17" x14ac:dyDescent="0.35">
      <c r="A25" s="177"/>
      <c r="B25" s="3">
        <v>2025</v>
      </c>
      <c r="C25" s="7" t="s">
        <v>18</v>
      </c>
      <c r="D25" s="28">
        <f>54+17+8+40</f>
        <v>119</v>
      </c>
      <c r="E25" s="12">
        <f>70+29+6+47</f>
        <v>152</v>
      </c>
      <c r="F25" s="12">
        <f>86+23+9+72</f>
        <v>190</v>
      </c>
      <c r="G25" s="12">
        <v>72</v>
      </c>
      <c r="H25" s="12">
        <f>201+117+9+83</f>
        <v>410</v>
      </c>
      <c r="I25" s="12">
        <f>68+9+44+105</f>
        <v>226</v>
      </c>
      <c r="J25" s="12">
        <f>109+50+9</f>
        <v>168</v>
      </c>
      <c r="K25" s="12">
        <f>63+25+9+47</f>
        <v>144</v>
      </c>
      <c r="L25" s="12">
        <f>81+29+8+55</f>
        <v>173</v>
      </c>
      <c r="M25" s="12">
        <f>104+38+8+70</f>
        <v>220</v>
      </c>
      <c r="N25" s="149">
        <f>112+41+8+59</f>
        <v>220</v>
      </c>
      <c r="O25" s="12">
        <f>76+37+7+37</f>
        <v>157</v>
      </c>
      <c r="P25" s="22">
        <f t="shared" si="0"/>
        <v>2251</v>
      </c>
      <c r="Q25" s="56">
        <f>(P25-P24)/P24</f>
        <v>1.0323159784560144E-2</v>
      </c>
    </row>
    <row r="26" spans="1:17" x14ac:dyDescent="0.35">
      <c r="A26" s="171" t="s">
        <v>29</v>
      </c>
      <c r="B26" s="7">
        <v>2023</v>
      </c>
      <c r="C26" s="4" t="s">
        <v>18</v>
      </c>
      <c r="D26" s="20"/>
      <c r="E26" s="21"/>
      <c r="F26" s="21"/>
      <c r="G26" s="21"/>
      <c r="H26" s="21"/>
      <c r="I26" s="21"/>
      <c r="J26" s="21"/>
      <c r="K26" s="21"/>
      <c r="L26" s="21"/>
      <c r="M26" s="21"/>
      <c r="N26" s="154"/>
      <c r="O26" s="21"/>
      <c r="P26" s="22">
        <f t="shared" si="0"/>
        <v>0</v>
      </c>
      <c r="Q26" s="53" t="s">
        <v>19</v>
      </c>
    </row>
    <row r="27" spans="1:17" x14ac:dyDescent="0.35">
      <c r="A27" s="172"/>
      <c r="B27" s="7">
        <v>2024</v>
      </c>
      <c r="C27" s="7" t="s">
        <v>18</v>
      </c>
      <c r="D27" s="28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22">
        <f t="shared" si="0"/>
        <v>0</v>
      </c>
      <c r="Q27" s="55" t="e">
        <f>(P27-P26)/P26</f>
        <v>#DIV/0!</v>
      </c>
    </row>
    <row r="28" spans="1:17" x14ac:dyDescent="0.35">
      <c r="A28" s="172"/>
      <c r="B28" s="3">
        <v>2025</v>
      </c>
      <c r="C28" s="7" t="s">
        <v>18</v>
      </c>
      <c r="D28" s="28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22">
        <f t="shared" si="0"/>
        <v>0</v>
      </c>
      <c r="Q28" s="56" t="e">
        <f>(P28-P27)/P27</f>
        <v>#DIV/0!</v>
      </c>
    </row>
    <row r="29" spans="1:17" x14ac:dyDescent="0.35">
      <c r="A29" s="178" t="s">
        <v>30</v>
      </c>
      <c r="B29" s="7">
        <v>2023</v>
      </c>
      <c r="C29" s="4" t="s">
        <v>18</v>
      </c>
      <c r="D29" s="20">
        <f>175+41</f>
        <v>216</v>
      </c>
      <c r="E29" s="21">
        <f>72+49</f>
        <v>121</v>
      </c>
      <c r="F29" s="21">
        <f>35+76</f>
        <v>111</v>
      </c>
      <c r="G29" s="21">
        <f>186+92</f>
        <v>278</v>
      </c>
      <c r="H29" s="21">
        <v>198</v>
      </c>
      <c r="I29" s="21">
        <v>214</v>
      </c>
      <c r="J29" s="21">
        <f>165+409</f>
        <v>574</v>
      </c>
      <c r="K29" s="21">
        <f>62+151</f>
        <v>213</v>
      </c>
      <c r="L29" s="21">
        <f>227+102</f>
        <v>329</v>
      </c>
      <c r="M29" s="21">
        <f>154+453</f>
        <v>607</v>
      </c>
      <c r="N29" s="21">
        <f>154+476</f>
        <v>630</v>
      </c>
      <c r="O29" s="21">
        <f>125+384</f>
        <v>509</v>
      </c>
      <c r="P29" s="22">
        <f t="shared" si="0"/>
        <v>4000</v>
      </c>
      <c r="Q29" s="53" t="s">
        <v>19</v>
      </c>
    </row>
    <row r="30" spans="1:17" x14ac:dyDescent="0.35">
      <c r="A30" s="177"/>
      <c r="B30" s="7">
        <v>2024</v>
      </c>
      <c r="C30" s="7" t="s">
        <v>18</v>
      </c>
      <c r="D30" s="20">
        <f>125+295</f>
        <v>420</v>
      </c>
      <c r="E30" s="21">
        <f>350+108</f>
        <v>458</v>
      </c>
      <c r="F30" s="21">
        <f>546+66</f>
        <v>612</v>
      </c>
      <c r="G30" s="21">
        <f>546+37</f>
        <v>583</v>
      </c>
      <c r="H30" s="21">
        <f>158+85</f>
        <v>243</v>
      </c>
      <c r="I30" s="21">
        <f>81+131</f>
        <v>212</v>
      </c>
      <c r="J30" s="21">
        <f>73+153</f>
        <v>226</v>
      </c>
      <c r="K30" s="21">
        <f>56+122</f>
        <v>178</v>
      </c>
      <c r="L30" s="21">
        <f>94+79</f>
        <v>173</v>
      </c>
      <c r="M30" s="21">
        <f>61+190</f>
        <v>251</v>
      </c>
      <c r="N30" s="21">
        <f>66+115</f>
        <v>181</v>
      </c>
      <c r="O30" s="21">
        <f>99+120</f>
        <v>219</v>
      </c>
      <c r="P30" s="22">
        <f t="shared" si="0"/>
        <v>3756</v>
      </c>
      <c r="Q30" s="55">
        <f>(P30-P29)/P29</f>
        <v>-6.0999999999999999E-2</v>
      </c>
    </row>
    <row r="31" spans="1:17" x14ac:dyDescent="0.35">
      <c r="A31" s="177"/>
      <c r="B31" s="3">
        <v>2025</v>
      </c>
      <c r="C31" s="7" t="s">
        <v>18</v>
      </c>
      <c r="D31" s="20">
        <f>95+96</f>
        <v>191</v>
      </c>
      <c r="E31" s="21">
        <f>42+84</f>
        <v>126</v>
      </c>
      <c r="F31" s="21">
        <f>29+98</f>
        <v>127</v>
      </c>
      <c r="G31" s="21">
        <f>242+14</f>
        <v>256</v>
      </c>
      <c r="H31" s="21">
        <f>164+14</f>
        <v>178</v>
      </c>
      <c r="I31" s="21">
        <f>211+12</f>
        <v>223</v>
      </c>
      <c r="J31" s="21">
        <f>182+12</f>
        <v>194</v>
      </c>
      <c r="K31" s="21">
        <f>121+13</f>
        <v>134</v>
      </c>
      <c r="L31" s="21">
        <f>218+182</f>
        <v>400</v>
      </c>
      <c r="M31" s="21">
        <f>80+143</f>
        <v>223</v>
      </c>
      <c r="N31" s="21">
        <f>103+35</f>
        <v>138</v>
      </c>
      <c r="O31" s="21">
        <f>81+86</f>
        <v>167</v>
      </c>
      <c r="P31" s="22">
        <f t="shared" si="0"/>
        <v>2357</v>
      </c>
      <c r="Q31" s="56">
        <f>(P31-P30)/P30</f>
        <v>-0.37247071352502664</v>
      </c>
    </row>
    <row r="32" spans="1:17" x14ac:dyDescent="0.35">
      <c r="A32" s="171" t="s">
        <v>31</v>
      </c>
      <c r="B32" s="7">
        <v>2023</v>
      </c>
      <c r="C32" s="4" t="s">
        <v>18</v>
      </c>
      <c r="D32" s="20">
        <v>124</v>
      </c>
      <c r="E32" s="21">
        <v>88</v>
      </c>
      <c r="F32" s="21">
        <v>77</v>
      </c>
      <c r="G32" s="21">
        <v>244</v>
      </c>
      <c r="H32" s="21">
        <v>527</v>
      </c>
      <c r="I32" s="21">
        <v>429</v>
      </c>
      <c r="J32" s="21">
        <v>340</v>
      </c>
      <c r="K32" s="21">
        <v>129</v>
      </c>
      <c r="L32" s="21">
        <v>444</v>
      </c>
      <c r="M32" s="21">
        <v>241</v>
      </c>
      <c r="N32" s="21">
        <v>245</v>
      </c>
      <c r="O32" s="21">
        <v>247</v>
      </c>
      <c r="P32" s="22">
        <f t="shared" si="0"/>
        <v>3135</v>
      </c>
      <c r="Q32" s="53" t="s">
        <v>19</v>
      </c>
    </row>
    <row r="33" spans="1:17" x14ac:dyDescent="0.35">
      <c r="A33" s="172"/>
      <c r="B33" s="7">
        <v>2024</v>
      </c>
      <c r="C33" s="7" t="s">
        <v>18</v>
      </c>
      <c r="D33" s="20">
        <v>201.3</v>
      </c>
      <c r="E33" s="21">
        <v>95.29</v>
      </c>
      <c r="F33" s="21">
        <v>68.58</v>
      </c>
      <c r="G33" s="21">
        <v>155.02000000000001</v>
      </c>
      <c r="H33" s="21">
        <v>358.58</v>
      </c>
      <c r="I33" s="21">
        <v>205.89</v>
      </c>
      <c r="J33" s="21">
        <v>159.79</v>
      </c>
      <c r="K33" s="21">
        <v>104.18</v>
      </c>
      <c r="L33" s="21">
        <v>483.11</v>
      </c>
      <c r="M33" s="21">
        <v>170.74</v>
      </c>
      <c r="N33" s="21">
        <v>294.06</v>
      </c>
      <c r="O33" s="21">
        <v>304.33999999999997</v>
      </c>
      <c r="P33" s="22">
        <f t="shared" si="0"/>
        <v>2600.88</v>
      </c>
      <c r="Q33" s="55">
        <f>(P33-P32)/P32</f>
        <v>-0.17037320574162676</v>
      </c>
    </row>
    <row r="34" spans="1:17" x14ac:dyDescent="0.35">
      <c r="A34" s="172"/>
      <c r="B34" s="3">
        <v>2025</v>
      </c>
      <c r="C34" s="7" t="s">
        <v>18</v>
      </c>
      <c r="D34" s="117">
        <f>7.25+43.13+19.15+90.95</f>
        <v>160.48000000000002</v>
      </c>
      <c r="E34" s="115">
        <v>172.13</v>
      </c>
      <c r="F34" s="115">
        <v>189.83</v>
      </c>
      <c r="G34" s="21">
        <v>370.21</v>
      </c>
      <c r="H34" s="21">
        <v>519.64</v>
      </c>
      <c r="I34" s="21">
        <v>552.48</v>
      </c>
      <c r="J34" s="21">
        <v>484.44</v>
      </c>
      <c r="K34" s="21">
        <v>266.82</v>
      </c>
      <c r="L34" s="21">
        <v>303.47000000000003</v>
      </c>
      <c r="M34" s="21">
        <v>264.24</v>
      </c>
      <c r="N34" s="21">
        <v>174.09</v>
      </c>
      <c r="O34" s="21">
        <v>103.67</v>
      </c>
      <c r="P34" s="22">
        <f t="shared" si="0"/>
        <v>3561.5</v>
      </c>
      <c r="Q34" s="56">
        <f>(P34-P33)/P33</f>
        <v>0.3693442219556457</v>
      </c>
    </row>
    <row r="35" spans="1:17" x14ac:dyDescent="0.35">
      <c r="A35" s="178" t="s">
        <v>32</v>
      </c>
      <c r="B35" s="7">
        <v>2023</v>
      </c>
      <c r="C35" s="4" t="s">
        <v>18</v>
      </c>
      <c r="D35" s="20">
        <v>255</v>
      </c>
      <c r="E35" s="21">
        <v>236</v>
      </c>
      <c r="F35" s="21">
        <v>187</v>
      </c>
      <c r="G35" s="21">
        <v>268</v>
      </c>
      <c r="H35" s="21">
        <v>200</v>
      </c>
      <c r="I35" s="21">
        <v>197</v>
      </c>
      <c r="J35" s="21">
        <v>224</v>
      </c>
      <c r="K35" s="21">
        <v>156</v>
      </c>
      <c r="L35" s="21">
        <v>191</v>
      </c>
      <c r="M35" s="21">
        <v>174</v>
      </c>
      <c r="N35" s="21">
        <v>183</v>
      </c>
      <c r="O35" s="21">
        <v>197</v>
      </c>
      <c r="P35" s="22">
        <f t="shared" ref="P35:P66" si="1">SUM(D35:O35)</f>
        <v>2468</v>
      </c>
      <c r="Q35" s="53" t="s">
        <v>19</v>
      </c>
    </row>
    <row r="36" spans="1:17" x14ac:dyDescent="0.35">
      <c r="A36" s="177"/>
      <c r="B36" s="7">
        <v>2024</v>
      </c>
      <c r="C36" s="7" t="s">
        <v>18</v>
      </c>
      <c r="D36" s="20">
        <v>204</v>
      </c>
      <c r="E36" s="21">
        <v>174</v>
      </c>
      <c r="F36" s="21">
        <v>224</v>
      </c>
      <c r="G36" s="21">
        <v>248</v>
      </c>
      <c r="H36" s="21">
        <v>300</v>
      </c>
      <c r="I36" s="21">
        <v>331</v>
      </c>
      <c r="J36" s="21">
        <v>223</v>
      </c>
      <c r="K36" s="21">
        <v>201</v>
      </c>
      <c r="L36" s="21">
        <v>209</v>
      </c>
      <c r="M36" s="21">
        <v>146</v>
      </c>
      <c r="N36" s="21">
        <v>194</v>
      </c>
      <c r="O36" s="21">
        <v>239</v>
      </c>
      <c r="P36" s="22">
        <f t="shared" si="1"/>
        <v>2693</v>
      </c>
      <c r="Q36" s="55">
        <f>(P36-P35)/P35</f>
        <v>9.116693679092383E-2</v>
      </c>
    </row>
    <row r="37" spans="1:17" x14ac:dyDescent="0.35">
      <c r="A37" s="177"/>
      <c r="B37" s="3">
        <v>2025</v>
      </c>
      <c r="C37" s="7" t="s">
        <v>18</v>
      </c>
      <c r="D37" s="20">
        <v>216</v>
      </c>
      <c r="E37" s="21">
        <v>198</v>
      </c>
      <c r="F37" s="21">
        <v>233</v>
      </c>
      <c r="G37" s="21">
        <v>252</v>
      </c>
      <c r="H37" s="21">
        <v>295</v>
      </c>
      <c r="I37" s="21">
        <v>269</v>
      </c>
      <c r="J37" s="21">
        <v>238</v>
      </c>
      <c r="K37" s="21">
        <v>236</v>
      </c>
      <c r="L37" s="21">
        <v>300</v>
      </c>
      <c r="M37" s="21">
        <v>211</v>
      </c>
      <c r="N37" s="21">
        <v>287</v>
      </c>
      <c r="O37" s="21">
        <v>236</v>
      </c>
      <c r="P37" s="22">
        <f t="shared" si="1"/>
        <v>2971</v>
      </c>
      <c r="Q37" s="56">
        <f>(P37-P36)/P36</f>
        <v>0.1032305978462681</v>
      </c>
    </row>
    <row r="38" spans="1:17" x14ac:dyDescent="0.35">
      <c r="A38" s="171" t="s">
        <v>33</v>
      </c>
      <c r="B38" s="7">
        <v>2023</v>
      </c>
      <c r="C38" s="4" t="s">
        <v>18</v>
      </c>
      <c r="D38" s="20">
        <v>160</v>
      </c>
      <c r="E38" s="21">
        <v>201</v>
      </c>
      <c r="F38" s="21">
        <v>181</v>
      </c>
      <c r="G38" s="21">
        <v>161</v>
      </c>
      <c r="H38" s="21">
        <v>194</v>
      </c>
      <c r="I38" s="21">
        <v>626</v>
      </c>
      <c r="J38" s="21">
        <v>1140</v>
      </c>
      <c r="K38" s="21">
        <v>270</v>
      </c>
      <c r="L38" s="21">
        <v>391</v>
      </c>
      <c r="M38" s="21">
        <v>283</v>
      </c>
      <c r="N38" s="21">
        <f>2+151+27+70</f>
        <v>250</v>
      </c>
      <c r="O38" s="21">
        <f>2+27+70</f>
        <v>99</v>
      </c>
      <c r="P38" s="22">
        <f t="shared" si="1"/>
        <v>3956</v>
      </c>
      <c r="Q38" s="53" t="s">
        <v>19</v>
      </c>
    </row>
    <row r="39" spans="1:17" x14ac:dyDescent="0.35">
      <c r="A39" s="172"/>
      <c r="B39" s="7">
        <v>2024</v>
      </c>
      <c r="C39" s="7" t="s">
        <v>18</v>
      </c>
      <c r="D39" s="20">
        <f>1+2</f>
        <v>3</v>
      </c>
      <c r="E39" s="21">
        <f>2+550</f>
        <v>552</v>
      </c>
      <c r="F39" s="21">
        <f>1+187</f>
        <v>188</v>
      </c>
      <c r="G39" s="21">
        <f>70+120+27+2</f>
        <v>219</v>
      </c>
      <c r="H39" s="21">
        <f>231+2+0</f>
        <v>233</v>
      </c>
      <c r="I39" s="21">
        <f>2+131</f>
        <v>133</v>
      </c>
      <c r="J39" s="21">
        <f>2+171</f>
        <v>173</v>
      </c>
      <c r="K39" s="21">
        <f>2+121</f>
        <v>123</v>
      </c>
      <c r="L39" s="21">
        <v>175</v>
      </c>
      <c r="M39" s="21">
        <v>145</v>
      </c>
      <c r="N39" s="21">
        <f>4+183</f>
        <v>187</v>
      </c>
      <c r="O39" s="21">
        <f>185+1</f>
        <v>186</v>
      </c>
      <c r="P39" s="22">
        <f t="shared" si="1"/>
        <v>2317</v>
      </c>
      <c r="Q39" s="55">
        <f>(P39-P38)/P38</f>
        <v>-0.41430738119312438</v>
      </c>
    </row>
    <row r="40" spans="1:17" x14ac:dyDescent="0.35">
      <c r="A40" s="172"/>
      <c r="B40" s="3">
        <v>2025</v>
      </c>
      <c r="C40" s="7" t="s">
        <v>18</v>
      </c>
      <c r="D40" s="117">
        <f>624+0+2+0</f>
        <v>626</v>
      </c>
      <c r="E40" s="21">
        <f>0+0+2+0</f>
        <v>2</v>
      </c>
      <c r="F40" s="115">
        <f>143+0+0+1</f>
        <v>144</v>
      </c>
      <c r="G40" s="115">
        <f>1+167</f>
        <v>168</v>
      </c>
      <c r="H40" s="21">
        <f>190+2</f>
        <v>192</v>
      </c>
      <c r="I40" s="21">
        <f>186+1+2</f>
        <v>189</v>
      </c>
      <c r="J40" s="21">
        <f>1+186</f>
        <v>187</v>
      </c>
      <c r="K40" s="21">
        <v>121</v>
      </c>
      <c r="L40" s="21">
        <v>2</v>
      </c>
      <c r="M40" s="21">
        <v>1</v>
      </c>
      <c r="N40" s="21">
        <v>2</v>
      </c>
      <c r="O40" s="21">
        <v>0</v>
      </c>
      <c r="P40" s="22">
        <f t="shared" si="1"/>
        <v>1634</v>
      </c>
      <c r="Q40" s="56">
        <f>(P40-P39)/P39</f>
        <v>-0.29477772982304706</v>
      </c>
    </row>
    <row r="41" spans="1:17" x14ac:dyDescent="0.35">
      <c r="A41" s="178" t="s">
        <v>34</v>
      </c>
      <c r="B41" s="7">
        <v>2023</v>
      </c>
      <c r="C41" s="4" t="s">
        <v>18</v>
      </c>
      <c r="D41" s="20">
        <f>49+128+18</f>
        <v>195</v>
      </c>
      <c r="E41" s="21">
        <f>36+125+10</f>
        <v>171</v>
      </c>
      <c r="F41" s="21">
        <f>72+116+25</f>
        <v>213</v>
      </c>
      <c r="G41" s="21">
        <f>119+192+82</f>
        <v>393</v>
      </c>
      <c r="H41" s="21">
        <f>153+89</f>
        <v>242</v>
      </c>
      <c r="I41" s="21">
        <f>181+582+63</f>
        <v>826</v>
      </c>
      <c r="J41" s="21">
        <f>438+54+122</f>
        <v>614</v>
      </c>
      <c r="K41" s="21">
        <f>178+32+137</f>
        <v>347</v>
      </c>
      <c r="L41" s="21">
        <f>308+47+236</f>
        <v>591</v>
      </c>
      <c r="M41" s="21">
        <f>156+126+283</f>
        <v>565</v>
      </c>
      <c r="N41" s="21">
        <f>149+62+373</f>
        <v>584</v>
      </c>
      <c r="O41" s="21">
        <f>128+61+294</f>
        <v>483</v>
      </c>
      <c r="P41" s="22">
        <f t="shared" si="1"/>
        <v>5224</v>
      </c>
      <c r="Q41" s="53" t="s">
        <v>19</v>
      </c>
    </row>
    <row r="42" spans="1:17" x14ac:dyDescent="0.35">
      <c r="A42" s="177"/>
      <c r="B42" s="7">
        <v>2024</v>
      </c>
      <c r="C42" s="7" t="s">
        <v>18</v>
      </c>
      <c r="D42" s="20">
        <f>355+70+12</f>
        <v>437</v>
      </c>
      <c r="E42" s="21">
        <f>392+65+39</f>
        <v>496</v>
      </c>
      <c r="F42" s="21">
        <f>740+69+3</f>
        <v>812</v>
      </c>
      <c r="G42" s="21">
        <f>128+55+1034</f>
        <v>1217</v>
      </c>
      <c r="H42" s="21">
        <f>987+196+67</f>
        <v>1250</v>
      </c>
      <c r="I42" s="21">
        <f>137+55</f>
        <v>192</v>
      </c>
      <c r="J42" s="21">
        <f>316+38+513</f>
        <v>867</v>
      </c>
      <c r="K42" s="21">
        <f>20+38+128</f>
        <v>186</v>
      </c>
      <c r="L42" s="21">
        <f>17+5+74</f>
        <v>96</v>
      </c>
      <c r="M42" s="21">
        <f>159+43+77</f>
        <v>279</v>
      </c>
      <c r="N42" s="21">
        <f>72+51+71+61</f>
        <v>255</v>
      </c>
      <c r="O42" s="21">
        <f>151+28+44+61</f>
        <v>284</v>
      </c>
      <c r="P42" s="22">
        <f t="shared" si="1"/>
        <v>6371</v>
      </c>
      <c r="Q42" s="55">
        <f>(P42-P41)/P41</f>
        <v>0.2195635528330781</v>
      </c>
    </row>
    <row r="43" spans="1:17" x14ac:dyDescent="0.35">
      <c r="A43" s="177"/>
      <c r="B43" s="3">
        <v>2025</v>
      </c>
      <c r="C43" s="7" t="s">
        <v>18</v>
      </c>
      <c r="D43" s="20">
        <f>132+19+71+61+0</f>
        <v>283</v>
      </c>
      <c r="E43" s="21">
        <f>71+61+0+46+11</f>
        <v>189</v>
      </c>
      <c r="F43" s="21">
        <f>61+21+0</f>
        <v>82</v>
      </c>
      <c r="G43" s="115">
        <f>116+34+75+61+0</f>
        <v>286</v>
      </c>
      <c r="H43" s="115">
        <f>222+68+98+0+61</f>
        <v>449</v>
      </c>
      <c r="I43" s="21">
        <f>283+78+61+91</f>
        <v>513</v>
      </c>
      <c r="J43" s="21">
        <f>252+70+81+61+0</f>
        <v>464</v>
      </c>
      <c r="K43" s="21">
        <f>238+24+53+61+0</f>
        <v>376</v>
      </c>
      <c r="L43" s="21">
        <v>211</v>
      </c>
      <c r="M43" s="21">
        <v>287</v>
      </c>
      <c r="N43" s="21">
        <f>81+214+43+61</f>
        <v>399</v>
      </c>
      <c r="O43" s="21">
        <f>222+44+75+61+0</f>
        <v>402</v>
      </c>
      <c r="P43" s="22">
        <f t="shared" si="1"/>
        <v>3941</v>
      </c>
      <c r="Q43" s="56">
        <f>(P43-P42)/P42</f>
        <v>-0.38141579029979594</v>
      </c>
    </row>
    <row r="44" spans="1:17" x14ac:dyDescent="0.35">
      <c r="A44" s="171" t="s">
        <v>35</v>
      </c>
      <c r="B44" s="7">
        <v>2023</v>
      </c>
      <c r="C44" s="4" t="s">
        <v>18</v>
      </c>
      <c r="D44" s="20">
        <f>426+244+1</f>
        <v>671</v>
      </c>
      <c r="E44" s="21">
        <f>385+211+2</f>
        <v>598</v>
      </c>
      <c r="F44" s="21">
        <f>446+198+1</f>
        <v>645</v>
      </c>
      <c r="G44" s="21">
        <f>454+333+1</f>
        <v>788</v>
      </c>
      <c r="H44" s="21">
        <f>430+395+1</f>
        <v>826</v>
      </c>
      <c r="I44" s="21">
        <f>499+319+1</f>
        <v>819</v>
      </c>
      <c r="J44" s="21">
        <f>620+344</f>
        <v>964</v>
      </c>
      <c r="K44" s="21">
        <f>472+188</f>
        <v>660</v>
      </c>
      <c r="L44" s="21">
        <f>256+2+387+1</f>
        <v>646</v>
      </c>
      <c r="M44" s="21">
        <f>410+28+304</f>
        <v>742</v>
      </c>
      <c r="N44" s="21">
        <f>593+28+239+66</f>
        <v>926</v>
      </c>
      <c r="O44" s="21">
        <f>582+297+31</f>
        <v>910</v>
      </c>
      <c r="P44" s="22">
        <f t="shared" si="1"/>
        <v>9195</v>
      </c>
      <c r="Q44" s="53" t="s">
        <v>19</v>
      </c>
    </row>
    <row r="45" spans="1:17" x14ac:dyDescent="0.35">
      <c r="A45" s="172"/>
      <c r="B45" s="7">
        <v>2024</v>
      </c>
      <c r="C45" s="7" t="s">
        <v>18</v>
      </c>
      <c r="D45" s="20">
        <f>549+219</f>
        <v>768</v>
      </c>
      <c r="E45" s="21">
        <f>545+297+1</f>
        <v>843</v>
      </c>
      <c r="F45" s="21">
        <f>510+201</f>
        <v>711</v>
      </c>
      <c r="G45" s="21">
        <f>369+297+2</f>
        <v>668</v>
      </c>
      <c r="H45" s="21">
        <f>392+316</f>
        <v>708</v>
      </c>
      <c r="I45" s="21">
        <f>238+271</f>
        <v>509</v>
      </c>
      <c r="J45" s="21">
        <f>241+296</f>
        <v>537</v>
      </c>
      <c r="K45" s="21">
        <f>196+150+1</f>
        <v>347</v>
      </c>
      <c r="L45" s="21">
        <f>195+268</f>
        <v>463</v>
      </c>
      <c r="M45" s="21">
        <f>177+344+1</f>
        <v>522</v>
      </c>
      <c r="N45" s="21">
        <f>237+433</f>
        <v>670</v>
      </c>
      <c r="O45" s="21">
        <f>354+265+1</f>
        <v>620</v>
      </c>
      <c r="P45" s="22">
        <f t="shared" si="1"/>
        <v>7366</v>
      </c>
      <c r="Q45" s="55">
        <f>(P45-P44)/P44</f>
        <v>-0.19891245241979336</v>
      </c>
    </row>
    <row r="46" spans="1:17" x14ac:dyDescent="0.35">
      <c r="A46" s="172"/>
      <c r="B46" s="3">
        <v>2025</v>
      </c>
      <c r="C46" s="7" t="s">
        <v>18</v>
      </c>
      <c r="D46" s="20">
        <f>332+0+0+215+1</f>
        <v>548</v>
      </c>
      <c r="E46" s="21">
        <f>265+0+0+176+0</f>
        <v>441</v>
      </c>
      <c r="F46" s="21">
        <f>212+0+0+157+1</f>
        <v>370</v>
      </c>
      <c r="G46" s="21">
        <f>410+0+232</f>
        <v>642</v>
      </c>
      <c r="H46" s="21">
        <f>500+335+1</f>
        <v>836</v>
      </c>
      <c r="I46" s="21">
        <f>329+237+0+0</f>
        <v>566</v>
      </c>
      <c r="J46" s="21">
        <f>278+0+0+183+1</f>
        <v>462</v>
      </c>
      <c r="K46" s="21">
        <f>192+159</f>
        <v>351</v>
      </c>
      <c r="L46" s="21">
        <f>255+0+0+303+0</f>
        <v>558</v>
      </c>
      <c r="M46" s="21">
        <f>252+0+0+271+1</f>
        <v>524</v>
      </c>
      <c r="N46" s="21">
        <f>244+0+0+248+0</f>
        <v>492</v>
      </c>
      <c r="O46" s="21">
        <f>261+293+1+0</f>
        <v>555</v>
      </c>
      <c r="P46" s="22">
        <f t="shared" si="1"/>
        <v>6345</v>
      </c>
      <c r="Q46" s="56">
        <f>(P46-P45)/P45</f>
        <v>-0.13860982894379581</v>
      </c>
    </row>
    <row r="47" spans="1:17" x14ac:dyDescent="0.35">
      <c r="A47" s="178" t="s">
        <v>36</v>
      </c>
      <c r="B47" s="7">
        <v>2023</v>
      </c>
      <c r="C47" s="4" t="s">
        <v>18</v>
      </c>
      <c r="D47" s="20">
        <v>70</v>
      </c>
      <c r="E47" s="21">
        <v>38</v>
      </c>
      <c r="F47" s="21">
        <v>76</v>
      </c>
      <c r="G47" s="21">
        <v>203</v>
      </c>
      <c r="H47" s="21">
        <v>122</v>
      </c>
      <c r="I47" s="21">
        <v>99</v>
      </c>
      <c r="J47" s="21">
        <v>113</v>
      </c>
      <c r="K47" s="21">
        <v>69</v>
      </c>
      <c r="L47" s="21">
        <v>95</v>
      </c>
      <c r="M47" s="21">
        <v>125</v>
      </c>
      <c r="N47" s="21">
        <v>102</v>
      </c>
      <c r="O47" s="21">
        <v>84</v>
      </c>
      <c r="P47" s="22">
        <f t="shared" si="1"/>
        <v>1196</v>
      </c>
      <c r="Q47" s="53" t="s">
        <v>19</v>
      </c>
    </row>
    <row r="48" spans="1:17" x14ac:dyDescent="0.35">
      <c r="A48" s="177"/>
      <c r="B48" s="7">
        <v>2024</v>
      </c>
      <c r="C48" s="7" t="s">
        <v>18</v>
      </c>
      <c r="D48" s="20">
        <v>68</v>
      </c>
      <c r="E48" s="21">
        <v>163</v>
      </c>
      <c r="F48" s="21">
        <v>106</v>
      </c>
      <c r="G48" s="21">
        <v>170</v>
      </c>
      <c r="H48" s="21">
        <v>97</v>
      </c>
      <c r="I48" s="21">
        <v>78</v>
      </c>
      <c r="J48" s="21">
        <v>92</v>
      </c>
      <c r="K48" s="21">
        <v>83</v>
      </c>
      <c r="L48" s="21">
        <v>76</v>
      </c>
      <c r="M48" s="21">
        <v>119</v>
      </c>
      <c r="N48" s="21">
        <v>88</v>
      </c>
      <c r="O48" s="21">
        <v>75</v>
      </c>
      <c r="P48" s="22">
        <f t="shared" si="1"/>
        <v>1215</v>
      </c>
      <c r="Q48" s="55">
        <f>(P48-P47)/P47</f>
        <v>1.588628762541806E-2</v>
      </c>
    </row>
    <row r="49" spans="1:17" x14ac:dyDescent="0.35">
      <c r="A49" s="177"/>
      <c r="B49" s="3">
        <v>2025</v>
      </c>
      <c r="C49" s="7" t="s">
        <v>18</v>
      </c>
      <c r="D49" s="21">
        <v>40</v>
      </c>
      <c r="E49" s="21">
        <v>56</v>
      </c>
      <c r="F49" s="21">
        <v>111</v>
      </c>
      <c r="G49" s="21">
        <v>133</v>
      </c>
      <c r="H49" s="21">
        <v>133</v>
      </c>
      <c r="I49" s="21">
        <v>156</v>
      </c>
      <c r="J49" s="21">
        <v>110</v>
      </c>
      <c r="K49" s="21">
        <v>89</v>
      </c>
      <c r="L49" s="21">
        <v>95</v>
      </c>
      <c r="M49" s="21">
        <v>136</v>
      </c>
      <c r="N49" s="21">
        <v>176</v>
      </c>
      <c r="O49" s="21">
        <v>122</v>
      </c>
      <c r="P49" s="22">
        <f t="shared" si="1"/>
        <v>1357</v>
      </c>
      <c r="Q49" s="56">
        <f>(P49-P48)/P48</f>
        <v>0.1168724279835391</v>
      </c>
    </row>
    <row r="50" spans="1:17" x14ac:dyDescent="0.35">
      <c r="A50" s="171" t="s">
        <v>37</v>
      </c>
      <c r="B50" s="7">
        <v>2023</v>
      </c>
      <c r="C50" s="4" t="s">
        <v>18</v>
      </c>
      <c r="D50" s="20">
        <f>36316-36258</f>
        <v>58</v>
      </c>
      <c r="E50" s="21">
        <f>36369-36316</f>
        <v>53</v>
      </c>
      <c r="F50" s="21">
        <v>161</v>
      </c>
      <c r="G50" s="21">
        <v>183</v>
      </c>
      <c r="H50" s="21">
        <v>267</v>
      </c>
      <c r="I50" s="21">
        <v>190</v>
      </c>
      <c r="J50" s="21">
        <v>69</v>
      </c>
      <c r="K50" s="21">
        <f>37390-37239</f>
        <v>151</v>
      </c>
      <c r="L50" s="21">
        <v>107</v>
      </c>
      <c r="M50" s="21">
        <v>183</v>
      </c>
      <c r="N50" s="21">
        <v>169</v>
      </c>
      <c r="O50" s="21">
        <v>100</v>
      </c>
      <c r="P50" s="22">
        <f t="shared" si="1"/>
        <v>1691</v>
      </c>
      <c r="Q50" s="53" t="s">
        <v>19</v>
      </c>
    </row>
    <row r="51" spans="1:17" x14ac:dyDescent="0.35">
      <c r="A51" s="172"/>
      <c r="B51" s="7">
        <v>2024</v>
      </c>
      <c r="C51" s="7" t="s">
        <v>18</v>
      </c>
      <c r="D51" s="20">
        <f>38029-37949</f>
        <v>80</v>
      </c>
      <c r="E51" s="21">
        <f>38156.2-38029</f>
        <v>127.19999999999709</v>
      </c>
      <c r="F51" s="21">
        <f>38269-38156.2</f>
        <v>112.80000000000291</v>
      </c>
      <c r="G51" s="21">
        <f>38416-38269</f>
        <v>147</v>
      </c>
      <c r="H51" s="21">
        <f>38553-38416</f>
        <v>137</v>
      </c>
      <c r="I51" s="21">
        <f>38662-38553</f>
        <v>109</v>
      </c>
      <c r="J51" s="21">
        <f>38829-38662</f>
        <v>167</v>
      </c>
      <c r="K51" s="21">
        <f>39002-38829</f>
        <v>173</v>
      </c>
      <c r="L51" s="21">
        <f>39126-39002</f>
        <v>124</v>
      </c>
      <c r="M51" s="21">
        <f>39222-39126</f>
        <v>96</v>
      </c>
      <c r="N51" s="21">
        <f>37849-37680</f>
        <v>169</v>
      </c>
      <c r="O51" s="21">
        <f>37849-37680</f>
        <v>169</v>
      </c>
      <c r="P51" s="22">
        <f t="shared" si="1"/>
        <v>1611</v>
      </c>
      <c r="Q51" s="55">
        <f>(P51-P50)/P50</f>
        <v>-4.730928444707274E-2</v>
      </c>
    </row>
    <row r="52" spans="1:17" x14ac:dyDescent="0.35">
      <c r="A52" s="172"/>
      <c r="B52" s="3">
        <v>2025</v>
      </c>
      <c r="C52" s="7" t="s">
        <v>18</v>
      </c>
      <c r="D52" s="117">
        <f>39363-39312</f>
        <v>51</v>
      </c>
      <c r="E52" s="115">
        <f>39421-39363</f>
        <v>58</v>
      </c>
      <c r="F52" s="115">
        <f>39463-39421</f>
        <v>42</v>
      </c>
      <c r="G52" s="21">
        <f>39566-39463</f>
        <v>103</v>
      </c>
      <c r="H52" s="21">
        <f>39685-39566</f>
        <v>119</v>
      </c>
      <c r="I52" s="21">
        <f>39868-39685</f>
        <v>183</v>
      </c>
      <c r="J52" s="21">
        <f>39956-39868</f>
        <v>88</v>
      </c>
      <c r="K52" s="21">
        <f>40007-39956</f>
        <v>51</v>
      </c>
      <c r="L52" s="21">
        <f>40108-40007</f>
        <v>101</v>
      </c>
      <c r="M52" s="21">
        <f>40166-40108</f>
        <v>58</v>
      </c>
      <c r="N52" s="21">
        <f>40254-40166</f>
        <v>88</v>
      </c>
      <c r="O52" s="21">
        <f>40334-40254</f>
        <v>80</v>
      </c>
      <c r="P52" s="22">
        <f t="shared" si="1"/>
        <v>1022</v>
      </c>
      <c r="Q52" s="56">
        <f>(P52-P51)/P51</f>
        <v>-0.36561142147734327</v>
      </c>
    </row>
    <row r="53" spans="1:17" x14ac:dyDescent="0.35">
      <c r="A53" s="171" t="s">
        <v>38</v>
      </c>
      <c r="B53" s="7">
        <v>2023</v>
      </c>
      <c r="C53" s="4" t="s">
        <v>18</v>
      </c>
      <c r="D53" s="20">
        <v>449</v>
      </c>
      <c r="E53" s="21">
        <v>361</v>
      </c>
      <c r="F53" s="21">
        <v>336</v>
      </c>
      <c r="G53" s="21">
        <v>399</v>
      </c>
      <c r="H53" s="21">
        <v>591</v>
      </c>
      <c r="I53" s="21">
        <v>451</v>
      </c>
      <c r="J53" s="21">
        <v>369</v>
      </c>
      <c r="K53" s="21">
        <v>327</v>
      </c>
      <c r="L53" s="21">
        <v>335</v>
      </c>
      <c r="M53" s="21">
        <v>378</v>
      </c>
      <c r="N53" s="21">
        <v>435</v>
      </c>
      <c r="O53" s="21">
        <v>653</v>
      </c>
      <c r="P53" s="22">
        <f t="shared" si="1"/>
        <v>5084</v>
      </c>
      <c r="Q53" s="53" t="s">
        <v>19</v>
      </c>
    </row>
    <row r="54" spans="1:17" x14ac:dyDescent="0.35">
      <c r="A54" s="172"/>
      <c r="B54" s="7">
        <v>2024</v>
      </c>
      <c r="C54" s="7" t="s">
        <v>18</v>
      </c>
      <c r="D54" s="20">
        <v>433</v>
      </c>
      <c r="E54" s="21">
        <v>472</v>
      </c>
      <c r="F54" s="21">
        <v>476</v>
      </c>
      <c r="G54" s="21">
        <v>451</v>
      </c>
      <c r="H54" s="21">
        <v>598</v>
      </c>
      <c r="I54" s="21">
        <v>569</v>
      </c>
      <c r="J54" s="21">
        <v>512</v>
      </c>
      <c r="K54" s="21">
        <v>630</v>
      </c>
      <c r="L54" s="21">
        <v>761</v>
      </c>
      <c r="M54" s="21">
        <v>710</v>
      </c>
      <c r="N54" s="21">
        <v>761</v>
      </c>
      <c r="O54" s="21">
        <v>409</v>
      </c>
      <c r="P54" s="22">
        <f t="shared" si="1"/>
        <v>6782</v>
      </c>
      <c r="Q54" s="55">
        <f>(P54-P53)/P53</f>
        <v>0.33398898505114083</v>
      </c>
    </row>
    <row r="55" spans="1:17" x14ac:dyDescent="0.35">
      <c r="A55" s="172"/>
      <c r="B55" s="3">
        <v>2025</v>
      </c>
      <c r="C55" s="7" t="s">
        <v>18</v>
      </c>
      <c r="D55" s="20">
        <v>397</v>
      </c>
      <c r="E55" s="21">
        <v>462</v>
      </c>
      <c r="F55" s="21">
        <v>470</v>
      </c>
      <c r="G55" s="21">
        <v>469</v>
      </c>
      <c r="H55" s="21">
        <v>511</v>
      </c>
      <c r="I55" s="21">
        <v>456</v>
      </c>
      <c r="J55" s="21">
        <v>204</v>
      </c>
      <c r="K55" s="21">
        <v>171</v>
      </c>
      <c r="L55" s="21">
        <v>198</v>
      </c>
      <c r="M55" s="21">
        <v>295</v>
      </c>
      <c r="N55" s="21">
        <v>328</v>
      </c>
      <c r="O55" s="21">
        <v>556</v>
      </c>
      <c r="P55" s="22">
        <f t="shared" si="1"/>
        <v>4517</v>
      </c>
      <c r="Q55" s="56">
        <f>(P55-P54)/P54</f>
        <v>-0.33397227956355058</v>
      </c>
    </row>
    <row r="56" spans="1:17" x14ac:dyDescent="0.35">
      <c r="A56" s="171" t="s">
        <v>39</v>
      </c>
      <c r="B56" s="7">
        <v>2023</v>
      </c>
      <c r="C56" s="4" t="s">
        <v>18</v>
      </c>
      <c r="D56" s="20">
        <f>268+3</f>
        <v>271</v>
      </c>
      <c r="E56" s="21">
        <v>309</v>
      </c>
      <c r="F56" s="21">
        <v>466</v>
      </c>
      <c r="G56" s="21">
        <v>520</v>
      </c>
      <c r="H56" s="21">
        <v>406</v>
      </c>
      <c r="I56" s="21">
        <v>351</v>
      </c>
      <c r="J56" s="21">
        <v>345</v>
      </c>
      <c r="K56" s="21">
        <v>364</v>
      </c>
      <c r="L56" s="21">
        <v>453</v>
      </c>
      <c r="M56" s="21">
        <v>450</v>
      </c>
      <c r="N56" s="21">
        <v>499</v>
      </c>
      <c r="O56" s="21">
        <v>570</v>
      </c>
      <c r="P56" s="22">
        <f t="shared" si="1"/>
        <v>5004</v>
      </c>
      <c r="Q56" s="53" t="s">
        <v>19</v>
      </c>
    </row>
    <row r="57" spans="1:17" x14ac:dyDescent="0.35">
      <c r="A57" s="172"/>
      <c r="B57" s="7">
        <v>2024</v>
      </c>
      <c r="C57" s="7" t="s">
        <v>18</v>
      </c>
      <c r="D57" s="20">
        <f>343+4</f>
        <v>347</v>
      </c>
      <c r="E57" s="21">
        <f>359+3</f>
        <v>362</v>
      </c>
      <c r="F57" s="21">
        <f>558+5</f>
        <v>563</v>
      </c>
      <c r="G57" s="21">
        <f>4+613</f>
        <v>617</v>
      </c>
      <c r="H57" s="21">
        <f>662+3</f>
        <v>665</v>
      </c>
      <c r="I57" s="21">
        <f>571+3</f>
        <v>574</v>
      </c>
      <c r="J57" s="21">
        <f>4+691</f>
        <v>695</v>
      </c>
      <c r="K57" s="21">
        <f>689+3</f>
        <v>692</v>
      </c>
      <c r="L57" s="21">
        <f>699+3</f>
        <v>702</v>
      </c>
      <c r="M57" s="21">
        <f>778+4</f>
        <v>782</v>
      </c>
      <c r="N57" s="21">
        <f>979+3</f>
        <v>982</v>
      </c>
      <c r="O57" s="21">
        <f>565+4</f>
        <v>569</v>
      </c>
      <c r="P57" s="22">
        <f t="shared" si="1"/>
        <v>7550</v>
      </c>
      <c r="Q57" s="55">
        <f>(P57-P56)/P56</f>
        <v>0.50879296562749798</v>
      </c>
    </row>
    <row r="58" spans="1:17" x14ac:dyDescent="0.35">
      <c r="A58" s="172"/>
      <c r="B58" s="3">
        <v>2025</v>
      </c>
      <c r="C58" s="7" t="s">
        <v>18</v>
      </c>
      <c r="D58" s="20">
        <f>468+4</f>
        <v>472</v>
      </c>
      <c r="E58" s="21">
        <f>408+5</f>
        <v>413</v>
      </c>
      <c r="F58" s="21">
        <f>400+5</f>
        <v>405</v>
      </c>
      <c r="G58" s="21">
        <f>470+4</f>
        <v>474</v>
      </c>
      <c r="H58" s="21">
        <f>661+3</f>
        <v>664</v>
      </c>
      <c r="I58" s="21">
        <f>716+2</f>
        <v>718</v>
      </c>
      <c r="J58" s="21">
        <f>546+2</f>
        <v>548</v>
      </c>
      <c r="K58" s="21">
        <f>683+3</f>
        <v>686</v>
      </c>
      <c r="L58" s="21">
        <f>733+3</f>
        <v>736</v>
      </c>
      <c r="M58" s="21">
        <f>4+833</f>
        <v>837</v>
      </c>
      <c r="N58" s="21">
        <v>1396</v>
      </c>
      <c r="O58" s="21">
        <f>3+2268</f>
        <v>2271</v>
      </c>
      <c r="P58" s="22">
        <f t="shared" si="1"/>
        <v>9620</v>
      </c>
      <c r="Q58" s="56">
        <f>(P58-P57)/P57</f>
        <v>0.27417218543046357</v>
      </c>
    </row>
    <row r="59" spans="1:17" x14ac:dyDescent="0.35">
      <c r="A59" s="171" t="s">
        <v>40</v>
      </c>
      <c r="B59" s="7">
        <v>2023</v>
      </c>
      <c r="C59" s="4" t="s">
        <v>18</v>
      </c>
      <c r="D59" s="20">
        <v>1285</v>
      </c>
      <c r="E59" s="21">
        <v>855</v>
      </c>
      <c r="F59" s="21">
        <v>1103</v>
      </c>
      <c r="G59" s="21">
        <v>1290</v>
      </c>
      <c r="H59" s="21">
        <v>898</v>
      </c>
      <c r="I59" s="21">
        <v>647</v>
      </c>
      <c r="J59" s="21">
        <v>632</v>
      </c>
      <c r="K59" s="21">
        <v>475</v>
      </c>
      <c r="L59" s="21">
        <v>754</v>
      </c>
      <c r="M59" s="21">
        <v>479</v>
      </c>
      <c r="N59" s="21">
        <v>1295</v>
      </c>
      <c r="O59" s="21">
        <v>1090</v>
      </c>
      <c r="P59" s="22">
        <f t="shared" si="1"/>
        <v>10803</v>
      </c>
      <c r="Q59" s="53" t="s">
        <v>19</v>
      </c>
    </row>
    <row r="60" spans="1:17" x14ac:dyDescent="0.35">
      <c r="A60" s="172"/>
      <c r="B60" s="7">
        <v>2024</v>
      </c>
      <c r="C60" s="7" t="s">
        <v>18</v>
      </c>
      <c r="D60" s="20">
        <v>631</v>
      </c>
      <c r="E60" s="21">
        <v>453</v>
      </c>
      <c r="F60" s="21">
        <v>835</v>
      </c>
      <c r="G60" s="21">
        <f>0+1117</f>
        <v>1117</v>
      </c>
      <c r="H60" s="21">
        <v>1102</v>
      </c>
      <c r="I60" s="21">
        <v>734</v>
      </c>
      <c r="J60" s="21">
        <v>714</v>
      </c>
      <c r="K60" s="21">
        <v>698</v>
      </c>
      <c r="L60" s="21">
        <v>769</v>
      </c>
      <c r="M60" s="21">
        <v>855</v>
      </c>
      <c r="N60" s="21">
        <v>762</v>
      </c>
      <c r="O60" s="21">
        <v>0</v>
      </c>
      <c r="P60" s="22">
        <f t="shared" si="1"/>
        <v>8670</v>
      </c>
      <c r="Q60" s="55">
        <f>(P60-P59)/P59</f>
        <v>-0.19744515412385449</v>
      </c>
    </row>
    <row r="61" spans="1:17" x14ac:dyDescent="0.35">
      <c r="A61" s="172"/>
      <c r="B61" s="3">
        <v>2025</v>
      </c>
      <c r="C61" s="7" t="s">
        <v>18</v>
      </c>
      <c r="D61" s="20">
        <v>591</v>
      </c>
      <c r="E61" s="21">
        <v>265</v>
      </c>
      <c r="F61" s="21">
        <v>1251</v>
      </c>
      <c r="G61" s="21">
        <v>660</v>
      </c>
      <c r="H61" s="21">
        <v>854</v>
      </c>
      <c r="I61" s="21">
        <v>893</v>
      </c>
      <c r="J61" s="21">
        <f>0+702</f>
        <v>702</v>
      </c>
      <c r="K61" s="21">
        <f>568+0</f>
        <v>568</v>
      </c>
      <c r="L61" s="21">
        <f>291+0</f>
        <v>291</v>
      </c>
      <c r="M61" s="21">
        <v>715</v>
      </c>
      <c r="N61" s="21">
        <v>587</v>
      </c>
      <c r="O61" s="21">
        <v>495</v>
      </c>
      <c r="P61" s="22">
        <f t="shared" si="1"/>
        <v>7872</v>
      </c>
      <c r="Q61" s="56">
        <f>(P61-P60)/P60</f>
        <v>-9.2041522491349476E-2</v>
      </c>
    </row>
    <row r="62" spans="1:17" x14ac:dyDescent="0.35">
      <c r="A62" s="171" t="s">
        <v>41</v>
      </c>
      <c r="B62" s="7">
        <v>2023</v>
      </c>
      <c r="C62" s="4" t="s">
        <v>18</v>
      </c>
      <c r="D62" s="20">
        <v>324</v>
      </c>
      <c r="E62" s="20">
        <v>344</v>
      </c>
      <c r="F62" s="21">
        <v>383</v>
      </c>
      <c r="G62" s="21">
        <v>273</v>
      </c>
      <c r="H62" s="21">
        <v>311</v>
      </c>
      <c r="I62" s="21">
        <v>300</v>
      </c>
      <c r="J62" s="21">
        <v>195</v>
      </c>
      <c r="K62" s="21">
        <v>163</v>
      </c>
      <c r="L62" s="21">
        <v>177</v>
      </c>
      <c r="M62" s="21">
        <v>222</v>
      </c>
      <c r="N62" s="21">
        <v>386</v>
      </c>
      <c r="O62" s="21">
        <v>338</v>
      </c>
      <c r="P62" s="22">
        <f t="shared" si="1"/>
        <v>3416</v>
      </c>
      <c r="Q62" s="53" t="s">
        <v>19</v>
      </c>
    </row>
    <row r="63" spans="1:17" x14ac:dyDescent="0.35">
      <c r="A63" s="172"/>
      <c r="B63" s="7">
        <v>2024</v>
      </c>
      <c r="C63" s="7" t="s">
        <v>18</v>
      </c>
      <c r="D63" s="20">
        <v>281</v>
      </c>
      <c r="E63" s="21">
        <v>736</v>
      </c>
      <c r="F63" s="21">
        <v>200</v>
      </c>
      <c r="G63" s="21">
        <v>511</v>
      </c>
      <c r="H63" s="21">
        <v>443</v>
      </c>
      <c r="I63" s="21">
        <v>324</v>
      </c>
      <c r="J63" s="21">
        <v>379</v>
      </c>
      <c r="K63" s="21">
        <v>354</v>
      </c>
      <c r="L63" s="21">
        <v>200</v>
      </c>
      <c r="M63" s="21">
        <v>223</v>
      </c>
      <c r="N63" s="21">
        <v>328</v>
      </c>
      <c r="O63" s="21">
        <v>437</v>
      </c>
      <c r="P63" s="22">
        <f t="shared" si="1"/>
        <v>4416</v>
      </c>
      <c r="Q63" s="55">
        <f>(P63-P62)/P62</f>
        <v>0.29274004683840749</v>
      </c>
    </row>
    <row r="64" spans="1:17" x14ac:dyDescent="0.35">
      <c r="A64" s="172"/>
      <c r="B64" s="3">
        <v>2025</v>
      </c>
      <c r="C64" s="7" t="s">
        <v>18</v>
      </c>
      <c r="D64" s="20">
        <v>284</v>
      </c>
      <c r="E64" s="21">
        <v>369</v>
      </c>
      <c r="F64" s="21">
        <v>158</v>
      </c>
      <c r="G64" s="21">
        <v>157</v>
      </c>
      <c r="H64" s="21">
        <f>7+347</f>
        <v>354</v>
      </c>
      <c r="I64" s="21">
        <v>141</v>
      </c>
      <c r="J64" s="21">
        <v>110</v>
      </c>
      <c r="K64" s="21">
        <v>72</v>
      </c>
      <c r="L64" s="21">
        <v>117</v>
      </c>
      <c r="M64" s="21">
        <v>92</v>
      </c>
      <c r="N64" s="21">
        <v>155</v>
      </c>
      <c r="O64" s="21">
        <v>208</v>
      </c>
      <c r="P64" s="22">
        <f t="shared" si="1"/>
        <v>2217</v>
      </c>
      <c r="Q64" s="56">
        <f>(P64-P63)/P63</f>
        <v>-0.49796195652173914</v>
      </c>
    </row>
    <row r="65" spans="1:17" x14ac:dyDescent="0.35">
      <c r="A65" s="171" t="s">
        <v>42</v>
      </c>
      <c r="B65" s="7">
        <v>2023</v>
      </c>
      <c r="C65" s="4" t="s">
        <v>18</v>
      </c>
      <c r="D65" s="20">
        <f>78+221+11</f>
        <v>310</v>
      </c>
      <c r="E65" s="21">
        <v>259</v>
      </c>
      <c r="F65" s="21">
        <v>223</v>
      </c>
      <c r="G65" s="21">
        <v>278</v>
      </c>
      <c r="H65" s="21">
        <v>333</v>
      </c>
      <c r="I65" s="21">
        <v>272</v>
      </c>
      <c r="J65" s="21">
        <v>227</v>
      </c>
      <c r="K65" s="21">
        <v>146</v>
      </c>
      <c r="L65" s="21">
        <v>108</v>
      </c>
      <c r="M65" s="21">
        <v>165</v>
      </c>
      <c r="N65" s="21">
        <v>362</v>
      </c>
      <c r="O65" s="21">
        <v>273</v>
      </c>
      <c r="P65" s="22">
        <f t="shared" si="1"/>
        <v>2956</v>
      </c>
      <c r="Q65" s="53" t="s">
        <v>19</v>
      </c>
    </row>
    <row r="66" spans="1:17" x14ac:dyDescent="0.35">
      <c r="A66" s="172"/>
      <c r="B66" s="7">
        <v>2024</v>
      </c>
      <c r="C66" s="7" t="s">
        <v>18</v>
      </c>
      <c r="D66" s="20">
        <f>42+304</f>
        <v>346</v>
      </c>
      <c r="E66" s="21">
        <f>185+27</f>
        <v>212</v>
      </c>
      <c r="F66" s="21">
        <f>207+186</f>
        <v>393</v>
      </c>
      <c r="G66" s="21">
        <f>244+136</f>
        <v>380</v>
      </c>
      <c r="H66" s="21">
        <f>260+58</f>
        <v>318</v>
      </c>
      <c r="I66" s="21">
        <f>28+139</f>
        <v>167</v>
      </c>
      <c r="J66" s="21">
        <f>34+160</f>
        <v>194</v>
      </c>
      <c r="K66" s="21">
        <f>150+21</f>
        <v>171</v>
      </c>
      <c r="L66" s="21">
        <f>237+11</f>
        <v>248</v>
      </c>
      <c r="M66" s="21">
        <f>240+25</f>
        <v>265</v>
      </c>
      <c r="N66" s="21">
        <f>10+40</f>
        <v>50</v>
      </c>
      <c r="O66" s="21">
        <f>44+228</f>
        <v>272</v>
      </c>
      <c r="P66" s="22">
        <f t="shared" si="1"/>
        <v>3016</v>
      </c>
      <c r="Q66" s="55">
        <f>(P66-P65)/P65</f>
        <v>2.0297699594046009E-2</v>
      </c>
    </row>
    <row r="67" spans="1:17" x14ac:dyDescent="0.35">
      <c r="A67" s="172"/>
      <c r="B67" s="3">
        <v>2025</v>
      </c>
      <c r="C67" s="7" t="s">
        <v>18</v>
      </c>
      <c r="D67" s="20">
        <f>212+35</f>
        <v>247</v>
      </c>
      <c r="E67" s="21">
        <f>175+42</f>
        <v>217</v>
      </c>
      <c r="F67" s="21">
        <f>28+266</f>
        <v>294</v>
      </c>
      <c r="G67" s="21">
        <f>29+117</f>
        <v>146</v>
      </c>
      <c r="H67" s="21">
        <v>28</v>
      </c>
      <c r="I67" s="21">
        <f>347+7</f>
        <v>354</v>
      </c>
      <c r="J67" s="21">
        <f>221+4</f>
        <v>225</v>
      </c>
      <c r="K67" s="21">
        <f>3+158</f>
        <v>161</v>
      </c>
      <c r="L67" s="21">
        <f>2+137</f>
        <v>139</v>
      </c>
      <c r="M67" s="21">
        <f>3+154</f>
        <v>157</v>
      </c>
      <c r="N67" s="21">
        <f>3+188</f>
        <v>191</v>
      </c>
      <c r="O67" s="21">
        <f>29+199</f>
        <v>228</v>
      </c>
      <c r="P67" s="22">
        <f t="shared" ref="P67:P76" si="2">SUM(D67:O67)</f>
        <v>2387</v>
      </c>
      <c r="Q67" s="56">
        <f>(P67-P66)/P66</f>
        <v>-0.20855437665782495</v>
      </c>
    </row>
    <row r="68" spans="1:17" x14ac:dyDescent="0.35">
      <c r="A68" s="171" t="s">
        <v>43</v>
      </c>
      <c r="B68" s="7">
        <v>2023</v>
      </c>
      <c r="C68" s="4" t="s">
        <v>18</v>
      </c>
      <c r="D68" s="20">
        <v>107</v>
      </c>
      <c r="E68" s="21">
        <v>55</v>
      </c>
      <c r="F68" s="21">
        <v>106</v>
      </c>
      <c r="G68" s="21">
        <v>353</v>
      </c>
      <c r="H68" s="21">
        <v>398</v>
      </c>
      <c r="I68" s="21">
        <v>304</v>
      </c>
      <c r="J68" s="21">
        <v>285</v>
      </c>
      <c r="K68" s="21">
        <v>78</v>
      </c>
      <c r="L68" s="21">
        <v>350</v>
      </c>
      <c r="M68" s="21">
        <v>182</v>
      </c>
      <c r="N68" s="21">
        <v>221</v>
      </c>
      <c r="O68" s="21">
        <v>221</v>
      </c>
      <c r="P68" s="22">
        <f t="shared" si="2"/>
        <v>2660</v>
      </c>
      <c r="Q68" s="53" t="s">
        <v>19</v>
      </c>
    </row>
    <row r="69" spans="1:17" x14ac:dyDescent="0.35">
      <c r="A69" s="172"/>
      <c r="B69" s="7">
        <v>2024</v>
      </c>
      <c r="C69" s="7" t="s">
        <v>18</v>
      </c>
      <c r="D69" s="20">
        <v>110</v>
      </c>
      <c r="E69" s="21">
        <v>104</v>
      </c>
      <c r="F69" s="21">
        <v>168</v>
      </c>
      <c r="G69" s="21">
        <v>395</v>
      </c>
      <c r="H69" s="21">
        <v>522</v>
      </c>
      <c r="I69" s="21">
        <v>258</v>
      </c>
      <c r="J69" s="21">
        <v>243</v>
      </c>
      <c r="K69" s="21">
        <v>140</v>
      </c>
      <c r="L69" s="21">
        <v>267</v>
      </c>
      <c r="M69" s="21">
        <v>193</v>
      </c>
      <c r="N69" s="21">
        <v>195</v>
      </c>
      <c r="O69" s="21">
        <v>227</v>
      </c>
      <c r="P69" s="22">
        <f t="shared" si="2"/>
        <v>2822</v>
      </c>
      <c r="Q69" s="55">
        <f>(P69-P68)/P68</f>
        <v>6.0902255639097742E-2</v>
      </c>
    </row>
    <row r="70" spans="1:17" x14ac:dyDescent="0.35">
      <c r="A70" s="172"/>
      <c r="B70" s="3">
        <v>2025</v>
      </c>
      <c r="C70" s="7" t="s">
        <v>18</v>
      </c>
      <c r="D70" s="20">
        <v>56</v>
      </c>
      <c r="E70" s="21">
        <v>52</v>
      </c>
      <c r="F70" s="21">
        <v>56</v>
      </c>
      <c r="G70" s="21">
        <v>346</v>
      </c>
      <c r="H70" s="21">
        <v>251</v>
      </c>
      <c r="I70" s="21">
        <v>293</v>
      </c>
      <c r="J70" s="21">
        <f>251+0</f>
        <v>251</v>
      </c>
      <c r="K70" s="21">
        <f>180+11</f>
        <v>191</v>
      </c>
      <c r="L70" s="21">
        <f>14+255</f>
        <v>269</v>
      </c>
      <c r="M70" s="21">
        <f>283+11</f>
        <v>294</v>
      </c>
      <c r="N70" s="21">
        <f>264+14</f>
        <v>278</v>
      </c>
      <c r="O70" s="21">
        <f>196+16</f>
        <v>212</v>
      </c>
      <c r="P70" s="22">
        <f t="shared" si="2"/>
        <v>2549</v>
      </c>
      <c r="Q70" s="56">
        <f>(P70-P69)/P69</f>
        <v>-9.6739900779588939E-2</v>
      </c>
    </row>
    <row r="71" spans="1:17" x14ac:dyDescent="0.35">
      <c r="A71" s="171" t="s">
        <v>44</v>
      </c>
      <c r="B71" s="3">
        <v>2023</v>
      </c>
      <c r="C71" s="4" t="s">
        <v>18</v>
      </c>
      <c r="D71" s="20">
        <v>52</v>
      </c>
      <c r="E71" s="21">
        <v>43</v>
      </c>
      <c r="F71" s="21">
        <v>74</v>
      </c>
      <c r="G71" s="21">
        <v>161</v>
      </c>
      <c r="H71" s="21">
        <v>166</v>
      </c>
      <c r="I71" s="21">
        <v>286</v>
      </c>
      <c r="J71" s="21">
        <v>200</v>
      </c>
      <c r="K71" s="21">
        <v>127</v>
      </c>
      <c r="L71" s="21">
        <v>228</v>
      </c>
      <c r="M71" s="21">
        <v>171</v>
      </c>
      <c r="N71" s="21">
        <v>244</v>
      </c>
      <c r="O71" s="21"/>
      <c r="P71" s="22">
        <f t="shared" si="2"/>
        <v>1752</v>
      </c>
      <c r="Q71" s="53" t="s">
        <v>19</v>
      </c>
    </row>
    <row r="72" spans="1:17" x14ac:dyDescent="0.35">
      <c r="A72" s="172"/>
      <c r="B72" s="3">
        <v>2024</v>
      </c>
      <c r="C72" s="7" t="s">
        <v>18</v>
      </c>
      <c r="D72" s="20">
        <v>73</v>
      </c>
      <c r="E72" s="21">
        <v>27</v>
      </c>
      <c r="F72" s="21">
        <v>27</v>
      </c>
      <c r="G72" s="21">
        <v>83</v>
      </c>
      <c r="H72" s="21">
        <v>82</v>
      </c>
      <c r="I72" s="21">
        <v>73</v>
      </c>
      <c r="J72" s="21">
        <v>54</v>
      </c>
      <c r="K72" s="21">
        <v>36</v>
      </c>
      <c r="L72" s="21">
        <v>111</v>
      </c>
      <c r="M72" s="21">
        <v>64</v>
      </c>
      <c r="N72" s="21">
        <v>85</v>
      </c>
      <c r="O72" s="21">
        <v>84</v>
      </c>
      <c r="P72" s="22">
        <f t="shared" si="2"/>
        <v>799</v>
      </c>
      <c r="Q72" s="55">
        <f>(P72-P71)/P71</f>
        <v>-0.54394977168949776</v>
      </c>
    </row>
    <row r="73" spans="1:17" x14ac:dyDescent="0.35">
      <c r="A73" s="172"/>
      <c r="B73" s="3">
        <v>2025</v>
      </c>
      <c r="C73" s="7" t="s">
        <v>18</v>
      </c>
      <c r="D73" s="20">
        <v>44</v>
      </c>
      <c r="E73" s="21">
        <v>40</v>
      </c>
      <c r="F73" s="21">
        <v>33</v>
      </c>
      <c r="G73" s="21">
        <v>88</v>
      </c>
      <c r="H73" s="21">
        <v>79</v>
      </c>
      <c r="I73" s="21">
        <v>96</v>
      </c>
      <c r="J73" s="21">
        <v>59</v>
      </c>
      <c r="K73" s="21">
        <v>51</v>
      </c>
      <c r="L73" s="21">
        <v>110</v>
      </c>
      <c r="M73" s="21">
        <v>63</v>
      </c>
      <c r="N73" s="21">
        <v>91</v>
      </c>
      <c r="O73" s="21">
        <v>83</v>
      </c>
      <c r="P73" s="22">
        <f t="shared" si="2"/>
        <v>837</v>
      </c>
      <c r="Q73" s="56">
        <f>(P73-P72)/P72</f>
        <v>4.7559449311639551E-2</v>
      </c>
    </row>
    <row r="74" spans="1:17" x14ac:dyDescent="0.35">
      <c r="A74" s="195" t="s">
        <v>45</v>
      </c>
      <c r="B74" s="6">
        <v>2023</v>
      </c>
      <c r="C74" s="37" t="s">
        <v>18</v>
      </c>
      <c r="D74" s="20">
        <v>222</v>
      </c>
      <c r="E74" s="21">
        <v>214</v>
      </c>
      <c r="F74" s="21">
        <v>224</v>
      </c>
      <c r="G74" s="21">
        <v>452</v>
      </c>
      <c r="H74" s="21">
        <v>447</v>
      </c>
      <c r="I74" s="21">
        <v>468</v>
      </c>
      <c r="J74" s="21">
        <v>368</v>
      </c>
      <c r="K74" s="21">
        <v>342</v>
      </c>
      <c r="L74" s="21">
        <v>464</v>
      </c>
      <c r="M74" s="21">
        <v>432</v>
      </c>
      <c r="N74" s="21">
        <v>457</v>
      </c>
      <c r="O74" s="21">
        <v>629</v>
      </c>
      <c r="P74" s="22">
        <f t="shared" si="2"/>
        <v>4719</v>
      </c>
      <c r="Q74" s="53" t="s">
        <v>19</v>
      </c>
    </row>
    <row r="75" spans="1:17" x14ac:dyDescent="0.35">
      <c r="A75" s="195"/>
      <c r="B75" s="6">
        <v>2024</v>
      </c>
      <c r="C75" s="3" t="s">
        <v>18</v>
      </c>
      <c r="D75" s="20">
        <v>294</v>
      </c>
      <c r="E75" s="21">
        <v>256</v>
      </c>
      <c r="F75" s="21">
        <v>268</v>
      </c>
      <c r="G75" s="21">
        <v>616</v>
      </c>
      <c r="H75" s="21">
        <v>445</v>
      </c>
      <c r="I75" s="21">
        <v>338</v>
      </c>
      <c r="J75" s="21">
        <v>363</v>
      </c>
      <c r="K75" s="21">
        <v>273</v>
      </c>
      <c r="L75" s="21">
        <v>439</v>
      </c>
      <c r="M75" s="21">
        <v>366</v>
      </c>
      <c r="N75" s="21">
        <v>411</v>
      </c>
      <c r="O75" s="21">
        <v>531</v>
      </c>
      <c r="P75" s="22">
        <f t="shared" si="2"/>
        <v>4600</v>
      </c>
      <c r="Q75" s="55">
        <f>(P75-P74)/P74</f>
        <v>-2.5217207035388853E-2</v>
      </c>
    </row>
    <row r="76" spans="1:17" x14ac:dyDescent="0.35">
      <c r="A76" s="195"/>
      <c r="B76" s="3">
        <v>2025</v>
      </c>
      <c r="C76" s="5" t="s">
        <v>18</v>
      </c>
      <c r="D76" s="38">
        <v>184</v>
      </c>
      <c r="E76" s="21">
        <v>312</v>
      </c>
      <c r="F76" s="21">
        <v>320</v>
      </c>
      <c r="G76" s="21">
        <v>437</v>
      </c>
      <c r="H76" s="21">
        <v>343</v>
      </c>
      <c r="I76" s="21">
        <v>408</v>
      </c>
      <c r="J76" s="21">
        <v>384</v>
      </c>
      <c r="K76" s="21"/>
      <c r="L76" s="21">
        <v>440</v>
      </c>
      <c r="M76" s="21">
        <v>604</v>
      </c>
      <c r="N76" s="21">
        <v>366</v>
      </c>
      <c r="O76" s="21">
        <v>360</v>
      </c>
      <c r="P76" s="22">
        <f t="shared" si="2"/>
        <v>4158</v>
      </c>
      <c r="Q76" s="56">
        <f>(P76-P75)/P75</f>
        <v>-9.6086956521739125E-2</v>
      </c>
    </row>
    <row r="86" spans="16:16" x14ac:dyDescent="0.35">
      <c r="P86" s="1"/>
    </row>
  </sheetData>
  <mergeCells count="25">
    <mergeCell ref="A62:A64"/>
    <mergeCell ref="A47:A49"/>
    <mergeCell ref="A50:A52"/>
    <mergeCell ref="A53:A55"/>
    <mergeCell ref="A56:A58"/>
    <mergeCell ref="A59:A61"/>
    <mergeCell ref="A32:A34"/>
    <mergeCell ref="A35:A37"/>
    <mergeCell ref="A38:A40"/>
    <mergeCell ref="A41:A43"/>
    <mergeCell ref="A44:A46"/>
    <mergeCell ref="A17:A19"/>
    <mergeCell ref="A20:A22"/>
    <mergeCell ref="A23:A25"/>
    <mergeCell ref="A26:A28"/>
    <mergeCell ref="A29:A31"/>
    <mergeCell ref="A2:A4"/>
    <mergeCell ref="A5:A7"/>
    <mergeCell ref="A8:A10"/>
    <mergeCell ref="A11:A13"/>
    <mergeCell ref="A14:A16"/>
    <mergeCell ref="A65:A67"/>
    <mergeCell ref="A68:A70"/>
    <mergeCell ref="A71:A73"/>
    <mergeCell ref="A74:A76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40B52-FB22-4DAF-9937-45D5551888C1}">
  <dimension ref="A1:AB166"/>
  <sheetViews>
    <sheetView topLeftCell="A7" workbookViewId="0">
      <selection activeCell="L20" sqref="L20"/>
    </sheetView>
  </sheetViews>
  <sheetFormatPr baseColWidth="10" defaultColWidth="17.7265625" defaultRowHeight="14.5" x14ac:dyDescent="0.35"/>
  <sheetData>
    <row r="1" spans="1:28" x14ac:dyDescent="0.35">
      <c r="A1" s="58" t="s">
        <v>1</v>
      </c>
      <c r="B1" s="58" t="s">
        <v>2</v>
      </c>
      <c r="C1" s="58" t="s">
        <v>17</v>
      </c>
      <c r="D1" s="58" t="s">
        <v>21</v>
      </c>
      <c r="E1" s="58" t="s">
        <v>23</v>
      </c>
      <c r="F1" s="58" t="s">
        <v>24</v>
      </c>
      <c r="G1" s="58" t="s">
        <v>25</v>
      </c>
      <c r="H1" s="58" t="s">
        <v>26</v>
      </c>
      <c r="I1" s="58" t="s">
        <v>27</v>
      </c>
      <c r="J1" s="58" t="s">
        <v>28</v>
      </c>
      <c r="K1" s="58" t="s">
        <v>29</v>
      </c>
      <c r="L1" s="58" t="s">
        <v>30</v>
      </c>
      <c r="M1" s="58" t="s">
        <v>31</v>
      </c>
      <c r="N1" s="58" t="s">
        <v>32</v>
      </c>
      <c r="O1" s="58" t="s">
        <v>33</v>
      </c>
      <c r="P1" s="58" t="s">
        <v>34</v>
      </c>
      <c r="Q1" s="58" t="s">
        <v>35</v>
      </c>
      <c r="R1" s="58" t="s">
        <v>36</v>
      </c>
      <c r="S1" s="58" t="s">
        <v>37</v>
      </c>
      <c r="T1" s="58" t="s">
        <v>38</v>
      </c>
      <c r="U1" s="58" t="s">
        <v>39</v>
      </c>
      <c r="V1" s="58" t="s">
        <v>40</v>
      </c>
      <c r="W1" s="58" t="s">
        <v>41</v>
      </c>
      <c r="X1" s="58" t="s">
        <v>42</v>
      </c>
      <c r="Y1" s="58" t="s">
        <v>43</v>
      </c>
      <c r="Z1" s="58" t="s">
        <v>44</v>
      </c>
      <c r="AA1" s="58" t="s">
        <v>45</v>
      </c>
      <c r="AB1" s="58" t="s">
        <v>15</v>
      </c>
    </row>
    <row r="2" spans="1:28" x14ac:dyDescent="0.35">
      <c r="A2" s="20">
        <v>2023</v>
      </c>
      <c r="B2" s="21" t="s">
        <v>18</v>
      </c>
      <c r="C2" s="59">
        <f>Agua!P2</f>
        <v>3027</v>
      </c>
      <c r="D2" s="59">
        <f>Agua!P5</f>
        <v>13336</v>
      </c>
      <c r="E2" s="59">
        <f>Agua!P8</f>
        <v>19308</v>
      </c>
      <c r="F2" s="59">
        <f>Agua!P11</f>
        <v>0</v>
      </c>
      <c r="G2" s="59">
        <f>Agua!P14</f>
        <v>1944</v>
      </c>
      <c r="H2" s="59">
        <f>Agua!P17</f>
        <v>508</v>
      </c>
      <c r="I2" s="59">
        <f>Agua!P20</f>
        <v>4346</v>
      </c>
      <c r="J2" s="59">
        <f>Agua!P23</f>
        <v>3387</v>
      </c>
      <c r="K2" s="59">
        <f>Agua!P26</f>
        <v>0</v>
      </c>
      <c r="L2" s="59">
        <f>Agua!P29</f>
        <v>4000</v>
      </c>
      <c r="M2" s="59">
        <f>Agua!P32</f>
        <v>3135</v>
      </c>
      <c r="N2" s="59">
        <f>Agua!P35</f>
        <v>2468</v>
      </c>
      <c r="O2" s="59">
        <f>Agua!P38</f>
        <v>3956</v>
      </c>
      <c r="P2" s="59">
        <f>Agua!P41</f>
        <v>5224</v>
      </c>
      <c r="Q2" s="59">
        <f>Agua!P44</f>
        <v>9195</v>
      </c>
      <c r="R2" s="59">
        <f>Agua!P47</f>
        <v>1196</v>
      </c>
      <c r="S2" s="59">
        <f>Agua!P50</f>
        <v>1691</v>
      </c>
      <c r="T2" s="59">
        <f>Agua!P53</f>
        <v>5084</v>
      </c>
      <c r="U2" s="59">
        <f>Agua!P56</f>
        <v>5004</v>
      </c>
      <c r="V2" s="59">
        <f>Agua!P59</f>
        <v>10803</v>
      </c>
      <c r="W2" s="59">
        <f>Agua!P62</f>
        <v>3416</v>
      </c>
      <c r="X2" s="59">
        <f>Agua!P65</f>
        <v>2956</v>
      </c>
      <c r="Y2" s="59">
        <f>Agua!P68</f>
        <v>2660</v>
      </c>
      <c r="Z2" s="59">
        <f>Agua!P71</f>
        <v>1752</v>
      </c>
      <c r="AA2" s="59">
        <f>Agua!P74</f>
        <v>4719</v>
      </c>
      <c r="AB2" s="60">
        <f t="shared" ref="AB2:AB9" si="0">SUM(C2:AA2)</f>
        <v>113115</v>
      </c>
    </row>
    <row r="3" spans="1:28" x14ac:dyDescent="0.35">
      <c r="A3" s="61">
        <v>2023</v>
      </c>
      <c r="B3" s="18" t="s">
        <v>20</v>
      </c>
      <c r="C3" s="19" t="e">
        <f>Agua!#REF!</f>
        <v>#REF!</v>
      </c>
      <c r="D3" s="19" t="e">
        <f>Agua!#REF!</f>
        <v>#REF!</v>
      </c>
      <c r="E3" s="19" t="e">
        <f>Agua!#REF!</f>
        <v>#REF!</v>
      </c>
      <c r="F3" s="19" t="e">
        <f>Agua!#REF!</f>
        <v>#REF!</v>
      </c>
      <c r="G3" s="19" t="e">
        <f>Agua!#REF!</f>
        <v>#REF!</v>
      </c>
      <c r="H3" s="19" t="e">
        <f>Agua!#REF!</f>
        <v>#REF!</v>
      </c>
      <c r="I3" s="19" t="e">
        <f>Agua!#REF!</f>
        <v>#REF!</v>
      </c>
      <c r="J3" s="19" t="e">
        <f>Agua!#REF!</f>
        <v>#REF!</v>
      </c>
      <c r="K3" s="19" t="e">
        <f>Agua!#REF!</f>
        <v>#REF!</v>
      </c>
      <c r="L3" s="19" t="e">
        <f>Agua!#REF!</f>
        <v>#REF!</v>
      </c>
      <c r="M3" s="19" t="e">
        <f>Agua!#REF!</f>
        <v>#REF!</v>
      </c>
      <c r="N3" s="19" t="e">
        <f>Agua!#REF!</f>
        <v>#REF!</v>
      </c>
      <c r="O3" s="19" t="e">
        <f>Agua!#REF!</f>
        <v>#REF!</v>
      </c>
      <c r="P3" s="19" t="e">
        <f>Agua!#REF!</f>
        <v>#REF!</v>
      </c>
      <c r="Q3" s="19" t="e">
        <f>Agua!#REF!</f>
        <v>#REF!</v>
      </c>
      <c r="R3" s="19" t="e">
        <f>Agua!#REF!</f>
        <v>#REF!</v>
      </c>
      <c r="S3" s="19" t="e">
        <f>Agua!#REF!</f>
        <v>#REF!</v>
      </c>
      <c r="T3" s="19" t="e">
        <f>Agua!#REF!</f>
        <v>#REF!</v>
      </c>
      <c r="U3" s="19" t="e">
        <f>Agua!#REF!</f>
        <v>#REF!</v>
      </c>
      <c r="V3" s="19" t="e">
        <f>Agua!#REF!</f>
        <v>#REF!</v>
      </c>
      <c r="W3" s="19" t="e">
        <f>Agua!#REF!</f>
        <v>#REF!</v>
      </c>
      <c r="X3" s="19" t="e">
        <f>Agua!#REF!</f>
        <v>#REF!</v>
      </c>
      <c r="Y3" s="19" t="e">
        <f>Agua!#REF!</f>
        <v>#REF!</v>
      </c>
      <c r="Z3" s="19" t="e">
        <f>Agua!#REF!</f>
        <v>#REF!</v>
      </c>
      <c r="AA3" s="19" t="e">
        <f>Agua!#REF!</f>
        <v>#REF!</v>
      </c>
      <c r="AB3" s="62" t="e">
        <f t="shared" si="0"/>
        <v>#REF!</v>
      </c>
    </row>
    <row r="4" spans="1:28" x14ac:dyDescent="0.35">
      <c r="A4" s="67">
        <v>2023</v>
      </c>
      <c r="B4" s="68" t="s">
        <v>47</v>
      </c>
      <c r="C4" s="68">
        <v>4350</v>
      </c>
      <c r="D4" s="68">
        <v>7555</v>
      </c>
      <c r="E4" s="68">
        <v>9650</v>
      </c>
      <c r="F4" s="68">
        <v>2463</v>
      </c>
      <c r="G4" s="68">
        <v>1226</v>
      </c>
      <c r="H4" s="68">
        <v>315</v>
      </c>
      <c r="I4" s="68">
        <v>3836</v>
      </c>
      <c r="J4" s="68">
        <v>2214</v>
      </c>
      <c r="K4" s="68">
        <v>4608</v>
      </c>
      <c r="L4" s="68">
        <v>2888</v>
      </c>
      <c r="M4" s="68">
        <v>2173</v>
      </c>
      <c r="N4" s="68">
        <v>637</v>
      </c>
      <c r="O4" s="68">
        <v>2068</v>
      </c>
      <c r="P4" s="68">
        <v>2580</v>
      </c>
      <c r="Q4" s="68">
        <v>5686</v>
      </c>
      <c r="R4" s="68">
        <v>1762</v>
      </c>
      <c r="S4" s="68">
        <v>1821</v>
      </c>
      <c r="T4" s="68">
        <v>3456</v>
      </c>
      <c r="U4" s="68">
        <v>2630</v>
      </c>
      <c r="V4" s="68">
        <v>5201</v>
      </c>
      <c r="W4" s="68">
        <v>2152</v>
      </c>
      <c r="X4" s="68">
        <v>1874</v>
      </c>
      <c r="Y4" s="68">
        <v>3422</v>
      </c>
      <c r="Z4" s="68">
        <v>1424</v>
      </c>
      <c r="AA4" s="68">
        <v>3829</v>
      </c>
      <c r="AB4" s="69">
        <f t="shared" si="0"/>
        <v>79820</v>
      </c>
    </row>
    <row r="5" spans="1:28" x14ac:dyDescent="0.35">
      <c r="A5" s="20">
        <v>2024</v>
      </c>
      <c r="B5" s="21" t="s">
        <v>18</v>
      </c>
      <c r="C5" s="59">
        <f>Agua!P3</f>
        <v>2571</v>
      </c>
      <c r="D5" s="59">
        <f>Agua!P6</f>
        <v>12461</v>
      </c>
      <c r="E5" s="59">
        <f>Agua!P9</f>
        <v>16199</v>
      </c>
      <c r="F5" s="59">
        <f>Agua!P12</f>
        <v>0</v>
      </c>
      <c r="G5" s="59">
        <f>Agua!P15</f>
        <v>1777</v>
      </c>
      <c r="H5" s="59">
        <f>Agua!P18</f>
        <v>400.36363636363637</v>
      </c>
      <c r="I5" s="59">
        <f>Agua!P21</f>
        <v>5383</v>
      </c>
      <c r="J5" s="59">
        <f>Agua!P24</f>
        <v>2228</v>
      </c>
      <c r="K5" s="59">
        <f>Agua!P27</f>
        <v>0</v>
      </c>
      <c r="L5" s="59">
        <f>Agua!P30</f>
        <v>3756</v>
      </c>
      <c r="M5" s="59">
        <f>Agua!P33</f>
        <v>2600.88</v>
      </c>
      <c r="N5" s="59">
        <f>Agua!P36</f>
        <v>2693</v>
      </c>
      <c r="O5" s="59">
        <f>Agua!P39</f>
        <v>2317</v>
      </c>
      <c r="P5" s="59">
        <f>Agua!P42</f>
        <v>6371</v>
      </c>
      <c r="Q5" s="59">
        <f>Agua!P45</f>
        <v>7366</v>
      </c>
      <c r="R5" s="59">
        <f>Agua!P48</f>
        <v>1215</v>
      </c>
      <c r="S5" s="59">
        <f>Agua!P51</f>
        <v>1611</v>
      </c>
      <c r="T5" s="59">
        <f>Agua!P54</f>
        <v>6782</v>
      </c>
      <c r="U5" s="59">
        <f>Agua!P57</f>
        <v>7550</v>
      </c>
      <c r="V5" s="59">
        <f>Agua!P60</f>
        <v>8670</v>
      </c>
      <c r="W5" s="59">
        <f>Agua!P63</f>
        <v>4416</v>
      </c>
      <c r="X5" s="59">
        <f>Agua!P66</f>
        <v>3016</v>
      </c>
      <c r="Y5" s="59">
        <f>Agua!P69</f>
        <v>2822</v>
      </c>
      <c r="Z5" s="59">
        <f>Agua!P72</f>
        <v>799</v>
      </c>
      <c r="AA5" s="59">
        <f>Agua!P75</f>
        <v>4600</v>
      </c>
      <c r="AB5" s="60">
        <f t="shared" si="0"/>
        <v>107604.24363636364</v>
      </c>
    </row>
    <row r="6" spans="1:28" x14ac:dyDescent="0.35">
      <c r="A6" s="61">
        <v>2024</v>
      </c>
      <c r="B6" s="18" t="s">
        <v>20</v>
      </c>
      <c r="C6" s="19" t="e">
        <f>Agua!#REF!</f>
        <v>#REF!</v>
      </c>
      <c r="D6" s="19" t="e">
        <f>Agua!#REF!</f>
        <v>#REF!</v>
      </c>
      <c r="E6" s="19" t="e">
        <f>Agua!#REF!</f>
        <v>#REF!</v>
      </c>
      <c r="F6" s="19" t="e">
        <f>Agua!#REF!</f>
        <v>#REF!</v>
      </c>
      <c r="G6" s="19" t="e">
        <f>Agua!#REF!</f>
        <v>#REF!</v>
      </c>
      <c r="H6" s="19" t="e">
        <f>Agua!#REF!</f>
        <v>#REF!</v>
      </c>
      <c r="I6" s="19" t="e">
        <f>Agua!#REF!</f>
        <v>#REF!</v>
      </c>
      <c r="J6" s="19" t="e">
        <f>Agua!#REF!</f>
        <v>#REF!</v>
      </c>
      <c r="K6" s="19" t="e">
        <f>Agua!#REF!</f>
        <v>#REF!</v>
      </c>
      <c r="L6" s="19" t="e">
        <f>Agua!#REF!</f>
        <v>#REF!</v>
      </c>
      <c r="M6" s="19" t="e">
        <f>Agua!#REF!</f>
        <v>#REF!</v>
      </c>
      <c r="N6" s="19" t="e">
        <f>Agua!#REF!</f>
        <v>#REF!</v>
      </c>
      <c r="O6" s="19" t="e">
        <f>Agua!#REF!</f>
        <v>#REF!</v>
      </c>
      <c r="P6" s="19" t="e">
        <f>Agua!#REF!</f>
        <v>#REF!</v>
      </c>
      <c r="Q6" s="19" t="e">
        <f>Agua!#REF!</f>
        <v>#REF!</v>
      </c>
      <c r="R6" s="19" t="e">
        <f>Agua!#REF!</f>
        <v>#REF!</v>
      </c>
      <c r="S6" s="19" t="e">
        <f>Agua!#REF!</f>
        <v>#REF!</v>
      </c>
      <c r="T6" s="19" t="e">
        <f>Agua!#REF!</f>
        <v>#REF!</v>
      </c>
      <c r="U6" s="19" t="e">
        <f>Agua!#REF!</f>
        <v>#REF!</v>
      </c>
      <c r="V6" s="19" t="e">
        <f>Agua!#REF!</f>
        <v>#REF!</v>
      </c>
      <c r="W6" s="19" t="e">
        <f>Agua!#REF!</f>
        <v>#REF!</v>
      </c>
      <c r="X6" s="19" t="e">
        <f>Agua!#REF!</f>
        <v>#REF!</v>
      </c>
      <c r="Y6" s="19" t="e">
        <f>Agua!#REF!</f>
        <v>#REF!</v>
      </c>
      <c r="Z6" s="19" t="e">
        <f>Agua!#REF!</f>
        <v>#REF!</v>
      </c>
      <c r="AA6" s="19" t="e">
        <f>Agua!#REF!</f>
        <v>#REF!</v>
      </c>
      <c r="AB6" s="62" t="e">
        <f t="shared" si="0"/>
        <v>#REF!</v>
      </c>
    </row>
    <row r="7" spans="1:28" x14ac:dyDescent="0.35">
      <c r="A7" s="33">
        <v>2024</v>
      </c>
      <c r="B7" s="63" t="s">
        <v>47</v>
      </c>
      <c r="C7" s="63">
        <v>4194</v>
      </c>
      <c r="D7" s="63">
        <v>6472</v>
      </c>
      <c r="E7" s="63">
        <v>6695</v>
      </c>
      <c r="F7" s="63">
        <v>2550</v>
      </c>
      <c r="G7" s="63">
        <v>1271</v>
      </c>
      <c r="H7" s="63">
        <v>480</v>
      </c>
      <c r="I7" s="63">
        <v>3388</v>
      </c>
      <c r="J7" s="63">
        <v>2101</v>
      </c>
      <c r="K7" s="63">
        <v>4504</v>
      </c>
      <c r="L7" s="63">
        <v>2685</v>
      </c>
      <c r="M7" s="63">
        <v>2014</v>
      </c>
      <c r="N7" s="63">
        <v>622</v>
      </c>
      <c r="O7" s="63">
        <v>1931</v>
      </c>
      <c r="P7" s="63">
        <v>2282</v>
      </c>
      <c r="Q7" s="63">
        <v>5537</v>
      </c>
      <c r="R7" s="63">
        <v>1769</v>
      </c>
      <c r="S7" s="63">
        <v>1813</v>
      </c>
      <c r="T7" s="63">
        <v>3567</v>
      </c>
      <c r="U7" s="63">
        <v>2443</v>
      </c>
      <c r="V7" s="63">
        <v>4758</v>
      </c>
      <c r="W7" s="63">
        <v>2156</v>
      </c>
      <c r="X7" s="63">
        <v>1836</v>
      </c>
      <c r="Y7" s="63">
        <v>3684</v>
      </c>
      <c r="Z7" s="63">
        <v>1260</v>
      </c>
      <c r="AA7" s="63">
        <v>3355</v>
      </c>
      <c r="AB7" s="64">
        <f t="shared" si="0"/>
        <v>73367</v>
      </c>
    </row>
    <row r="8" spans="1:28" x14ac:dyDescent="0.35">
      <c r="A8" s="65">
        <v>2025</v>
      </c>
      <c r="B8" s="65" t="s">
        <v>18</v>
      </c>
      <c r="C8" s="66">
        <f>Agua!P4</f>
        <v>2969</v>
      </c>
      <c r="D8" s="66">
        <f>Agua!P7</f>
        <v>7987</v>
      </c>
      <c r="E8" s="66">
        <f>Agua!P10</f>
        <v>11396.599999999999</v>
      </c>
      <c r="F8" s="66">
        <f>Agua!P13</f>
        <v>0</v>
      </c>
      <c r="G8" s="66">
        <f>Agua!P16</f>
        <v>1791</v>
      </c>
      <c r="H8" s="66">
        <f>Agua!P19</f>
        <v>428</v>
      </c>
      <c r="I8" s="66">
        <f>Agua!P22</f>
        <v>9661</v>
      </c>
      <c r="J8" s="66">
        <f>Agua!P25</f>
        <v>2251</v>
      </c>
      <c r="K8" s="66">
        <f>Agua!P28</f>
        <v>0</v>
      </c>
      <c r="L8" s="66">
        <f>Agua!P31</f>
        <v>2357</v>
      </c>
      <c r="M8" s="66">
        <f>Agua!P34</f>
        <v>3561.5</v>
      </c>
      <c r="N8" s="66">
        <f>Agua!P37</f>
        <v>2971</v>
      </c>
      <c r="O8" s="66">
        <f>Agua!P40</f>
        <v>1634</v>
      </c>
      <c r="P8" s="66">
        <f>Agua!P43</f>
        <v>3941</v>
      </c>
      <c r="Q8" s="66">
        <f>Agua!P46</f>
        <v>6345</v>
      </c>
      <c r="R8" s="66">
        <f>Agua!P49</f>
        <v>1357</v>
      </c>
      <c r="S8" s="66">
        <f>Agua!P52</f>
        <v>1022</v>
      </c>
      <c r="T8" s="66">
        <f>Agua!P55</f>
        <v>4517</v>
      </c>
      <c r="U8" s="66">
        <f>Agua!P58</f>
        <v>9620</v>
      </c>
      <c r="V8" s="66">
        <f>Agua!P61</f>
        <v>7872</v>
      </c>
      <c r="W8" s="66">
        <f>Agua!P64</f>
        <v>2217</v>
      </c>
      <c r="X8" s="66">
        <f>Agua!P67</f>
        <v>2387</v>
      </c>
      <c r="Y8" s="66">
        <f>Agua!P70</f>
        <v>2549</v>
      </c>
      <c r="Z8" s="66">
        <f>Agua!P73</f>
        <v>837</v>
      </c>
      <c r="AA8" s="66">
        <f>Agua!P76</f>
        <v>4158</v>
      </c>
      <c r="AB8" s="66">
        <f t="shared" si="0"/>
        <v>93829.1</v>
      </c>
    </row>
    <row r="9" spans="1:28" x14ac:dyDescent="0.35">
      <c r="A9" s="18">
        <v>2025</v>
      </c>
      <c r="B9" s="18" t="s">
        <v>20</v>
      </c>
      <c r="C9" s="19" t="e">
        <f>Agua!#REF!</f>
        <v>#REF!</v>
      </c>
      <c r="D9" s="19" t="e">
        <f>Agua!#REF!</f>
        <v>#REF!</v>
      </c>
      <c r="E9" s="19" t="e">
        <f>Agua!#REF!</f>
        <v>#REF!</v>
      </c>
      <c r="F9" s="19" t="e">
        <f>Agua!#REF!</f>
        <v>#REF!</v>
      </c>
      <c r="G9" s="19" t="e">
        <f>Agua!#REF!</f>
        <v>#REF!</v>
      </c>
      <c r="H9" s="19" t="e">
        <f>Agua!#REF!</f>
        <v>#REF!</v>
      </c>
      <c r="I9" s="19" t="e">
        <f>Agua!#REF!</f>
        <v>#REF!</v>
      </c>
      <c r="J9" s="19" t="e">
        <f>Agua!#REF!</f>
        <v>#REF!</v>
      </c>
      <c r="K9" s="19" t="e">
        <f>Agua!#REF!</f>
        <v>#REF!</v>
      </c>
      <c r="L9" s="19" t="e">
        <f>Agua!#REF!</f>
        <v>#REF!</v>
      </c>
      <c r="M9" s="19" t="e">
        <f>Agua!#REF!</f>
        <v>#REF!</v>
      </c>
      <c r="N9" s="19" t="e">
        <f>Agua!#REF!</f>
        <v>#REF!</v>
      </c>
      <c r="O9" s="19" t="e">
        <f>Agua!#REF!</f>
        <v>#REF!</v>
      </c>
      <c r="P9" s="19" t="e">
        <f>Agua!#REF!</f>
        <v>#REF!</v>
      </c>
      <c r="Q9" s="19" t="e">
        <f>Agua!#REF!</f>
        <v>#REF!</v>
      </c>
      <c r="R9" s="19" t="e">
        <f>Agua!#REF!</f>
        <v>#REF!</v>
      </c>
      <c r="S9" s="19" t="e">
        <f>Agua!#REF!</f>
        <v>#REF!</v>
      </c>
      <c r="T9" s="19" t="e">
        <f>Agua!#REF!</f>
        <v>#REF!</v>
      </c>
      <c r="U9" s="19" t="e">
        <f>Agua!#REF!</f>
        <v>#REF!</v>
      </c>
      <c r="V9" s="19" t="e">
        <f>Agua!#REF!</f>
        <v>#REF!</v>
      </c>
      <c r="W9" s="19" t="e">
        <f>Agua!#REF!</f>
        <v>#REF!</v>
      </c>
      <c r="X9" s="19" t="e">
        <f>Agua!#REF!</f>
        <v>#REF!</v>
      </c>
      <c r="Y9" s="19" t="e">
        <f>Agua!#REF!</f>
        <v>#REF!</v>
      </c>
      <c r="Z9" s="19" t="e">
        <f>Agua!#REF!</f>
        <v>#REF!</v>
      </c>
      <c r="AA9" s="19" t="e">
        <f>Agua!#REF!</f>
        <v>#REF!</v>
      </c>
      <c r="AB9" s="19" t="e">
        <f t="shared" si="0"/>
        <v>#REF!</v>
      </c>
    </row>
    <row r="10" spans="1:28" x14ac:dyDescent="0.35">
      <c r="A10" s="18">
        <v>2025</v>
      </c>
      <c r="B10" s="18" t="s">
        <v>47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7" customFormat="1" x14ac:dyDescent="0.35"/>
    <row r="18" customFormat="1" x14ac:dyDescent="0.35"/>
    <row r="19" customFormat="1" x14ac:dyDescent="0.35"/>
    <row r="20" customFormat="1" x14ac:dyDescent="0.35"/>
    <row r="21" customFormat="1" x14ac:dyDescent="0.35"/>
    <row r="22" customFormat="1" x14ac:dyDescent="0.35"/>
    <row r="23" customFormat="1" x14ac:dyDescent="0.35"/>
    <row r="24" customFormat="1" x14ac:dyDescent="0.35"/>
    <row r="25" customFormat="1" x14ac:dyDescent="0.35"/>
    <row r="26" customFormat="1" x14ac:dyDescent="0.35"/>
    <row r="27" customFormat="1" x14ac:dyDescent="0.35"/>
    <row r="28" customFormat="1" x14ac:dyDescent="0.35"/>
    <row r="29" customFormat="1" x14ac:dyDescent="0.35"/>
    <row r="30" customFormat="1" x14ac:dyDescent="0.35"/>
    <row r="31" customFormat="1" x14ac:dyDescent="0.35"/>
    <row r="32" customFormat="1" x14ac:dyDescent="0.35"/>
    <row r="33" customFormat="1" x14ac:dyDescent="0.35"/>
    <row r="34" customFormat="1" x14ac:dyDescent="0.35"/>
    <row r="35" customFormat="1" x14ac:dyDescent="0.35"/>
    <row r="36" customFormat="1" x14ac:dyDescent="0.35"/>
    <row r="37" customFormat="1" x14ac:dyDescent="0.35"/>
    <row r="38" customFormat="1" x14ac:dyDescent="0.35"/>
    <row r="39" customFormat="1" x14ac:dyDescent="0.35"/>
    <row r="40" customFormat="1" x14ac:dyDescent="0.35"/>
    <row r="41" customFormat="1" x14ac:dyDescent="0.35"/>
    <row r="42" customFormat="1" x14ac:dyDescent="0.35"/>
    <row r="43" customFormat="1" x14ac:dyDescent="0.35"/>
    <row r="44" customFormat="1" x14ac:dyDescent="0.35"/>
    <row r="45" customFormat="1" x14ac:dyDescent="0.35"/>
    <row r="46" customFormat="1" x14ac:dyDescent="0.35"/>
    <row r="47" customFormat="1" x14ac:dyDescent="0.35"/>
    <row r="48" customFormat="1" x14ac:dyDescent="0.35"/>
    <row r="49" customFormat="1" x14ac:dyDescent="0.35"/>
    <row r="50" customFormat="1" x14ac:dyDescent="0.35"/>
    <row r="51" customFormat="1" x14ac:dyDescent="0.35"/>
    <row r="52" customFormat="1" x14ac:dyDescent="0.35"/>
    <row r="53" customFormat="1" x14ac:dyDescent="0.35"/>
    <row r="54" customFormat="1" x14ac:dyDescent="0.35"/>
    <row r="55" customFormat="1" x14ac:dyDescent="0.35"/>
    <row r="56" customFormat="1" x14ac:dyDescent="0.35"/>
    <row r="57" customFormat="1" x14ac:dyDescent="0.35"/>
    <row r="58" customFormat="1" x14ac:dyDescent="0.35"/>
    <row r="59" customFormat="1" x14ac:dyDescent="0.35"/>
    <row r="60" customFormat="1" x14ac:dyDescent="0.35"/>
    <row r="61" customFormat="1" x14ac:dyDescent="0.35"/>
    <row r="62" customFormat="1" x14ac:dyDescent="0.35"/>
    <row r="63" customFormat="1" x14ac:dyDescent="0.35"/>
    <row r="64" customFormat="1" x14ac:dyDescent="0.35"/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  <row r="76" customFormat="1" x14ac:dyDescent="0.35"/>
    <row r="77" customFormat="1" x14ac:dyDescent="0.35"/>
    <row r="78" customFormat="1" x14ac:dyDescent="0.35"/>
    <row r="79" customFormat="1" x14ac:dyDescent="0.35"/>
    <row r="80" customFormat="1" x14ac:dyDescent="0.35"/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  <row r="86" customFormat="1" x14ac:dyDescent="0.35"/>
    <row r="87" customFormat="1" x14ac:dyDescent="0.35"/>
    <row r="88" customFormat="1" x14ac:dyDescent="0.35"/>
    <row r="89" customFormat="1" x14ac:dyDescent="0.35"/>
    <row r="90" customFormat="1" x14ac:dyDescent="0.35"/>
    <row r="91" customFormat="1" x14ac:dyDescent="0.35"/>
    <row r="92" customFormat="1" x14ac:dyDescent="0.35"/>
    <row r="93" customFormat="1" x14ac:dyDescent="0.35"/>
    <row r="94" customFormat="1" x14ac:dyDescent="0.35"/>
    <row r="95" customFormat="1" x14ac:dyDescent="0.35"/>
    <row r="96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626AB-92FA-4C6A-8DF4-337CB260281A}">
  <dimension ref="A1:AB166"/>
  <sheetViews>
    <sheetView workbookViewId="0">
      <selection activeCell="G8" sqref="G8"/>
    </sheetView>
  </sheetViews>
  <sheetFormatPr baseColWidth="10" defaultColWidth="17.7265625" defaultRowHeight="14.5" x14ac:dyDescent="0.35"/>
  <sheetData>
    <row r="1" spans="1:28" x14ac:dyDescent="0.35">
      <c r="A1" s="84" t="s">
        <v>1</v>
      </c>
      <c r="B1" s="84" t="s">
        <v>2</v>
      </c>
      <c r="C1" s="84" t="s">
        <v>17</v>
      </c>
      <c r="D1" s="84" t="s">
        <v>21</v>
      </c>
      <c r="E1" s="84" t="s">
        <v>23</v>
      </c>
      <c r="F1" s="84" t="s">
        <v>24</v>
      </c>
      <c r="G1" s="84" t="s">
        <v>25</v>
      </c>
      <c r="H1" s="84" t="s">
        <v>26</v>
      </c>
      <c r="I1" s="84" t="s">
        <v>27</v>
      </c>
      <c r="J1" s="84" t="s">
        <v>28</v>
      </c>
      <c r="K1" s="84" t="s">
        <v>29</v>
      </c>
      <c r="L1" s="84" t="s">
        <v>30</v>
      </c>
      <c r="M1" s="84" t="s">
        <v>31</v>
      </c>
      <c r="N1" s="84" t="s">
        <v>32</v>
      </c>
      <c r="O1" s="84" t="s">
        <v>33</v>
      </c>
      <c r="P1" s="84" t="s">
        <v>34</v>
      </c>
      <c r="Q1" s="84" t="s">
        <v>35</v>
      </c>
      <c r="R1" s="84" t="s">
        <v>36</v>
      </c>
      <c r="S1" s="84" t="s">
        <v>37</v>
      </c>
      <c r="T1" s="84" t="s">
        <v>38</v>
      </c>
      <c r="U1" s="84" t="s">
        <v>39</v>
      </c>
      <c r="V1" s="84" t="s">
        <v>40</v>
      </c>
      <c r="W1" s="84" t="s">
        <v>41</v>
      </c>
      <c r="X1" s="84" t="s">
        <v>42</v>
      </c>
      <c r="Y1" s="84" t="s">
        <v>43</v>
      </c>
      <c r="Z1" s="84" t="s">
        <v>44</v>
      </c>
      <c r="AA1" s="84" t="s">
        <v>45</v>
      </c>
      <c r="AB1" s="84" t="s">
        <v>15</v>
      </c>
    </row>
    <row r="2" spans="1:28" x14ac:dyDescent="0.35">
      <c r="A2" s="85">
        <v>2023</v>
      </c>
      <c r="B2" s="86" t="s">
        <v>48</v>
      </c>
      <c r="C2" s="87">
        <f>Electricidad!$P$2</f>
        <v>314560</v>
      </c>
      <c r="D2" s="88">
        <v>546731</v>
      </c>
      <c r="E2" s="88">
        <v>1048557.7499999999</v>
      </c>
      <c r="F2" s="88"/>
      <c r="G2" s="88">
        <v>108730</v>
      </c>
      <c r="H2" s="88">
        <v>135646</v>
      </c>
      <c r="I2" s="88">
        <v>540462.6</v>
      </c>
      <c r="J2" s="88">
        <v>72242.399999999994</v>
      </c>
      <c r="K2" s="88"/>
      <c r="L2" s="88">
        <v>125450</v>
      </c>
      <c r="M2" s="88">
        <v>209740.61000000002</v>
      </c>
      <c r="N2" s="89">
        <v>407745</v>
      </c>
      <c r="O2" s="88">
        <v>127990</v>
      </c>
      <c r="P2" s="90">
        <v>203084</v>
      </c>
      <c r="Q2" s="88">
        <v>330762</v>
      </c>
      <c r="R2" s="88">
        <v>116320</v>
      </c>
      <c r="S2" s="88">
        <v>184730</v>
      </c>
      <c r="T2" s="88">
        <v>164360</v>
      </c>
      <c r="U2" s="88">
        <v>173700</v>
      </c>
      <c r="V2" s="88">
        <v>504294</v>
      </c>
      <c r="W2" s="88">
        <v>204240</v>
      </c>
      <c r="X2" s="88">
        <v>163022</v>
      </c>
      <c r="Y2" s="88">
        <v>253200</v>
      </c>
      <c r="Z2" s="88">
        <v>149500</v>
      </c>
      <c r="AA2" s="88">
        <v>203280</v>
      </c>
      <c r="AB2" s="90">
        <f>SUM(C2:AA2)</f>
        <v>6288347.3599999994</v>
      </c>
    </row>
    <row r="3" spans="1:28" x14ac:dyDescent="0.35">
      <c r="A3" s="91">
        <v>2023</v>
      </c>
      <c r="B3" s="92" t="s">
        <v>20</v>
      </c>
      <c r="C3" s="93" t="e">
        <f>Electricidad!#REF!</f>
        <v>#REF!</v>
      </c>
      <c r="D3" s="94">
        <v>28356575</v>
      </c>
      <c r="E3" s="94">
        <v>140327087.59999999</v>
      </c>
      <c r="F3" s="94"/>
      <c r="G3" s="94">
        <v>27331700</v>
      </c>
      <c r="H3" s="94">
        <v>32383944</v>
      </c>
      <c r="I3" s="94">
        <v>83979300</v>
      </c>
      <c r="J3" s="94">
        <v>10028149</v>
      </c>
      <c r="K3" s="94"/>
      <c r="L3" s="94">
        <v>29148700</v>
      </c>
      <c r="M3" s="94">
        <v>30729404</v>
      </c>
      <c r="N3" s="95">
        <v>139051389</v>
      </c>
      <c r="O3" s="96">
        <v>35740600</v>
      </c>
      <c r="P3" s="97">
        <v>53610545</v>
      </c>
      <c r="Q3" s="96">
        <v>64883004</v>
      </c>
      <c r="R3" s="96">
        <v>25507610</v>
      </c>
      <c r="S3" s="96">
        <v>30340887</v>
      </c>
      <c r="T3" s="96">
        <v>38598383</v>
      </c>
      <c r="U3" s="96">
        <v>34717000</v>
      </c>
      <c r="V3" s="96">
        <v>13109578</v>
      </c>
      <c r="W3" s="96">
        <v>34269859</v>
      </c>
      <c r="X3" s="96">
        <v>41070600</v>
      </c>
      <c r="Y3" s="96">
        <v>54157800</v>
      </c>
      <c r="Z3" s="96">
        <v>27041959</v>
      </c>
      <c r="AA3" s="96">
        <v>42993900</v>
      </c>
      <c r="AB3" s="98" t="e">
        <f>SUM(C3:AA3)</f>
        <v>#REF!</v>
      </c>
    </row>
    <row r="4" spans="1:28" x14ac:dyDescent="0.35">
      <c r="A4" s="99">
        <v>2023</v>
      </c>
      <c r="B4" s="100" t="s">
        <v>47</v>
      </c>
      <c r="C4" s="100">
        <v>4350</v>
      </c>
      <c r="D4" s="100">
        <v>7555</v>
      </c>
      <c r="E4" s="100">
        <v>9650</v>
      </c>
      <c r="F4" s="100">
        <v>2463</v>
      </c>
      <c r="G4" s="100">
        <v>1226</v>
      </c>
      <c r="H4" s="100">
        <v>315</v>
      </c>
      <c r="I4" s="100">
        <v>3836</v>
      </c>
      <c r="J4" s="100">
        <v>2214</v>
      </c>
      <c r="K4" s="100">
        <v>4608</v>
      </c>
      <c r="L4" s="100">
        <v>2888</v>
      </c>
      <c r="M4" s="100">
        <v>2173</v>
      </c>
      <c r="N4" s="100">
        <v>637</v>
      </c>
      <c r="O4" s="100">
        <v>2068</v>
      </c>
      <c r="P4" s="100">
        <v>2580</v>
      </c>
      <c r="Q4" s="100">
        <v>5686</v>
      </c>
      <c r="R4" s="100">
        <v>1762</v>
      </c>
      <c r="S4" s="100">
        <v>1821</v>
      </c>
      <c r="T4" s="100">
        <v>3456</v>
      </c>
      <c r="U4" s="100">
        <v>2630</v>
      </c>
      <c r="V4" s="100">
        <v>5201</v>
      </c>
      <c r="W4" s="100">
        <v>2152</v>
      </c>
      <c r="X4" s="100">
        <v>1874</v>
      </c>
      <c r="Y4" s="100">
        <v>3422</v>
      </c>
      <c r="Z4" s="100">
        <v>1424</v>
      </c>
      <c r="AA4" s="100">
        <v>3829</v>
      </c>
      <c r="AB4" s="101">
        <f>SUM(C4:AA4)</f>
        <v>79820</v>
      </c>
    </row>
    <row r="5" spans="1:28" x14ac:dyDescent="0.35">
      <c r="A5" s="85">
        <v>2024</v>
      </c>
      <c r="B5" s="102" t="s">
        <v>48</v>
      </c>
      <c r="C5" s="87">
        <f>Electricidad!$P$3</f>
        <v>304680</v>
      </c>
      <c r="D5" s="88">
        <f>Electricidad!$P$6</f>
        <v>583126</v>
      </c>
      <c r="E5" s="88">
        <v>1041042.2</v>
      </c>
      <c r="F5" s="88"/>
      <c r="G5" s="88">
        <f>Electricidad!$P$15</f>
        <v>111720</v>
      </c>
      <c r="H5" s="88">
        <f>Electricidad!$P$18</f>
        <v>169350</v>
      </c>
      <c r="I5" s="88">
        <v>567833.4</v>
      </c>
      <c r="J5" s="88">
        <f>Electricidad!$P$24</f>
        <v>80049.899999999994</v>
      </c>
      <c r="K5" s="88"/>
      <c r="L5" s="88">
        <v>171539</v>
      </c>
      <c r="M5" s="88">
        <v>204360.56</v>
      </c>
      <c r="N5" s="89">
        <v>443863</v>
      </c>
      <c r="O5" s="100">
        <v>123635</v>
      </c>
      <c r="P5" s="90">
        <v>186578</v>
      </c>
      <c r="Q5" s="100">
        <v>365467</v>
      </c>
      <c r="R5" s="100">
        <v>129120</v>
      </c>
      <c r="S5" s="100">
        <v>176487</v>
      </c>
      <c r="T5" s="100">
        <v>163520</v>
      </c>
      <c r="U5" s="100">
        <v>187000</v>
      </c>
      <c r="V5" s="100">
        <v>466293</v>
      </c>
      <c r="W5" s="100">
        <v>278440</v>
      </c>
      <c r="X5" s="100">
        <v>174277</v>
      </c>
      <c r="Y5" s="100">
        <v>258120</v>
      </c>
      <c r="Z5" s="100">
        <v>145500</v>
      </c>
      <c r="AA5" s="100">
        <v>202720</v>
      </c>
      <c r="AB5" s="101">
        <f>SUM(C5:AA5)</f>
        <v>6534721.0600000005</v>
      </c>
    </row>
    <row r="6" spans="1:28" x14ac:dyDescent="0.35">
      <c r="A6" s="103">
        <v>2024</v>
      </c>
      <c r="B6" s="92" t="s">
        <v>20</v>
      </c>
      <c r="C6" s="104" t="e">
        <f>Electricidad!#REF!</f>
        <v>#REF!</v>
      </c>
      <c r="D6" s="105" t="e">
        <f>Electricidad!#REF!</f>
        <v>#REF!</v>
      </c>
      <c r="E6" s="105">
        <v>48324103.699999996</v>
      </c>
      <c r="F6" s="105"/>
      <c r="G6" s="105" t="e">
        <f>Electricidad!#REF!</f>
        <v>#REF!</v>
      </c>
      <c r="H6" s="105" t="e">
        <f>Electricidad!#REF!</f>
        <v>#REF!</v>
      </c>
      <c r="I6" s="105">
        <v>124908977.5</v>
      </c>
      <c r="J6" s="105" t="e">
        <f>Electricidad!#REF!</f>
        <v>#REF!</v>
      </c>
      <c r="K6" s="105"/>
      <c r="L6" s="105">
        <v>59140270</v>
      </c>
      <c r="M6" s="105">
        <v>34053626.810000002</v>
      </c>
      <c r="N6" s="106">
        <v>22182785</v>
      </c>
      <c r="O6" s="88">
        <v>44072258</v>
      </c>
      <c r="P6" s="97">
        <v>61242000</v>
      </c>
      <c r="Q6" s="88">
        <v>85328700</v>
      </c>
      <c r="R6" s="88">
        <v>36545485</v>
      </c>
      <c r="S6" s="88">
        <v>31363210</v>
      </c>
      <c r="T6" s="88">
        <v>41391423</v>
      </c>
      <c r="U6" s="88">
        <v>47122600</v>
      </c>
      <c r="V6" s="88">
        <v>13268216</v>
      </c>
      <c r="W6" s="88">
        <v>45551012</v>
      </c>
      <c r="X6" s="88">
        <v>62700400</v>
      </c>
      <c r="Y6" s="88">
        <v>70247400</v>
      </c>
      <c r="Z6" s="88">
        <v>31960960.5</v>
      </c>
      <c r="AA6" s="88">
        <v>53298000</v>
      </c>
      <c r="AB6" s="90" t="e">
        <f>SUM(C6:AA6)</f>
        <v>#REF!</v>
      </c>
    </row>
    <row r="7" spans="1:28" x14ac:dyDescent="0.35">
      <c r="A7" s="99">
        <v>2025</v>
      </c>
      <c r="B7" s="100" t="s">
        <v>47</v>
      </c>
      <c r="C7" s="63">
        <v>4194</v>
      </c>
      <c r="D7" s="63">
        <v>6472</v>
      </c>
      <c r="E7" s="63">
        <v>6695</v>
      </c>
      <c r="F7" s="63">
        <v>2550</v>
      </c>
      <c r="G7" s="63">
        <v>1271</v>
      </c>
      <c r="H7" s="63">
        <v>480</v>
      </c>
      <c r="I7" s="63">
        <v>3388</v>
      </c>
      <c r="J7" s="63">
        <v>2101</v>
      </c>
      <c r="K7" s="63">
        <v>4504</v>
      </c>
      <c r="L7" s="63">
        <v>2685</v>
      </c>
      <c r="M7" s="63">
        <v>2014</v>
      </c>
      <c r="N7" s="63">
        <v>622</v>
      </c>
      <c r="O7" s="63">
        <v>1931</v>
      </c>
      <c r="P7" s="63">
        <v>2282</v>
      </c>
      <c r="Q7" s="63">
        <v>5537</v>
      </c>
      <c r="R7" s="63">
        <v>1769</v>
      </c>
      <c r="S7" s="63">
        <v>1813</v>
      </c>
      <c r="T7" s="63">
        <v>3567</v>
      </c>
      <c r="U7" s="63">
        <v>2443</v>
      </c>
      <c r="V7" s="63">
        <v>4758</v>
      </c>
      <c r="W7" s="63">
        <v>2156</v>
      </c>
      <c r="X7" s="63">
        <v>1836</v>
      </c>
      <c r="Y7" s="63">
        <v>3684</v>
      </c>
      <c r="Z7" s="63">
        <v>1260</v>
      </c>
      <c r="AA7" s="63">
        <v>3355</v>
      </c>
      <c r="AB7" s="101"/>
    </row>
    <row r="8" spans="1:28" x14ac:dyDescent="0.35">
      <c r="A8" s="107">
        <v>2025</v>
      </c>
      <c r="B8" s="108" t="s">
        <v>48</v>
      </c>
      <c r="C8" s="109">
        <f>Electricidad!$P$4</f>
        <v>264910</v>
      </c>
      <c r="D8" s="110">
        <f>Electricidad!$P$7</f>
        <v>517593</v>
      </c>
      <c r="E8" s="110">
        <f>Electricidad!$P$10</f>
        <v>959495.79999999993</v>
      </c>
      <c r="F8" s="110"/>
      <c r="G8" s="110">
        <f>Electricidad!$P$16</f>
        <v>86570</v>
      </c>
      <c r="H8" s="110">
        <f>Electricidad!$P$19</f>
        <v>153450</v>
      </c>
      <c r="I8" s="110">
        <f>Electricidad!$P$22</f>
        <v>301406</v>
      </c>
      <c r="J8" s="110">
        <f>Electricidad!$P$25</f>
        <v>78213.279999999999</v>
      </c>
      <c r="K8" s="110"/>
      <c r="L8" s="110">
        <f>Electricidad!$P$31</f>
        <v>167713</v>
      </c>
      <c r="M8" s="110">
        <v>0</v>
      </c>
      <c r="N8" s="111">
        <f>Electricidad!$P$37</f>
        <v>414092</v>
      </c>
      <c r="O8" s="111">
        <f>Electricidad!$P$40</f>
        <v>108184</v>
      </c>
      <c r="P8" s="90">
        <f>Electricidad!$P$43</f>
        <v>163635</v>
      </c>
      <c r="Q8" s="90">
        <f>Electricidad!$P$46</f>
        <v>327243</v>
      </c>
      <c r="R8" s="90">
        <f>Electricidad!$P$49</f>
        <v>105157</v>
      </c>
      <c r="S8" s="90"/>
      <c r="T8" s="90">
        <f>Electricidad!$P$55</f>
        <v>163320</v>
      </c>
      <c r="U8" s="90">
        <f>Electricidad!$P$58</f>
        <v>181900</v>
      </c>
      <c r="V8" s="90">
        <f>Electricidad!$P$61</f>
        <v>439699</v>
      </c>
      <c r="W8" s="90">
        <f>Electricidad!$P$64</f>
        <v>205320</v>
      </c>
      <c r="X8" s="90">
        <f>Electricidad!$P$67</f>
        <v>159417</v>
      </c>
      <c r="Y8" s="90">
        <f>Electricidad!$P$70</f>
        <v>269010</v>
      </c>
      <c r="Z8" s="90">
        <f>Electricidad!$P$73</f>
        <v>145800</v>
      </c>
      <c r="AA8" s="90">
        <f>Electricidad!$P$76</f>
        <v>200320</v>
      </c>
      <c r="AB8" s="90"/>
    </row>
    <row r="9" spans="1:28" x14ac:dyDescent="0.35">
      <c r="A9" s="112">
        <v>2025</v>
      </c>
      <c r="B9" s="113" t="s">
        <v>20</v>
      </c>
      <c r="C9" s="104" t="e">
        <f>Electricidad!#REF!</f>
        <v>#REF!</v>
      </c>
      <c r="D9" s="105" t="e">
        <f>Electricidad!#REF!</f>
        <v>#REF!</v>
      </c>
      <c r="E9" s="105" t="e">
        <f>Electricidad!#REF!</f>
        <v>#REF!</v>
      </c>
      <c r="F9" s="105"/>
      <c r="G9" s="105" t="e">
        <f>Electricidad!#REF!</f>
        <v>#REF!</v>
      </c>
      <c r="H9" s="105" t="e">
        <f>Electricidad!#REF!</f>
        <v>#REF!</v>
      </c>
      <c r="I9" s="105" t="e">
        <f>Electricidad!#REF!</f>
        <v>#REF!</v>
      </c>
      <c r="J9" s="105" t="e">
        <f>Electricidad!#REF!</f>
        <v>#REF!</v>
      </c>
      <c r="K9" s="105"/>
      <c r="L9" s="105" t="e">
        <f>Electricidad!#REF!</f>
        <v>#REF!</v>
      </c>
      <c r="M9" s="105">
        <v>0</v>
      </c>
      <c r="N9" s="106" t="e">
        <f>Electricidad!#REF!</f>
        <v>#REF!</v>
      </c>
      <c r="O9" s="105" t="e">
        <f>Electricidad!#REF!</f>
        <v>#REF!</v>
      </c>
      <c r="P9" s="97" t="e">
        <f>Electricidad!#REF!</f>
        <v>#REF!</v>
      </c>
      <c r="Q9" s="105" t="e">
        <f>Electricidad!#REF!</f>
        <v>#REF!</v>
      </c>
      <c r="R9" s="105" t="e">
        <f>Electricidad!#REF!</f>
        <v>#REF!</v>
      </c>
      <c r="S9" s="105">
        <v>0</v>
      </c>
      <c r="T9" s="105" t="e">
        <f>Electricidad!#REF!</f>
        <v>#REF!</v>
      </c>
      <c r="U9" s="105" t="e">
        <f>Electricidad!#REF!</f>
        <v>#REF!</v>
      </c>
      <c r="V9" s="105" t="e">
        <f>Electricidad!#REF!</f>
        <v>#REF!</v>
      </c>
      <c r="W9" s="105" t="e">
        <f>Electricidad!#REF!</f>
        <v>#REF!</v>
      </c>
      <c r="X9" s="105" t="e">
        <f>Electricidad!#REF!</f>
        <v>#REF!</v>
      </c>
      <c r="Y9" s="105" t="e">
        <f>Electricidad!#REF!</f>
        <v>#REF!</v>
      </c>
      <c r="Z9" s="105" t="e">
        <f>Electricidad!#REF!</f>
        <v>#REF!</v>
      </c>
      <c r="AA9" s="105" t="e">
        <f>Electricidad!#REF!</f>
        <v>#REF!</v>
      </c>
      <c r="AB9" s="97"/>
    </row>
    <row r="10" spans="1:28" x14ac:dyDescent="0.35">
      <c r="A10" s="114">
        <v>2025</v>
      </c>
      <c r="B10" s="114" t="s">
        <v>47</v>
      </c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</row>
    <row r="13" spans="1:28" x14ac:dyDescent="0.35">
      <c r="Q13">
        <v>209740.61000000002</v>
      </c>
    </row>
    <row r="14" spans="1:28" x14ac:dyDescent="0.35">
      <c r="Q14">
        <v>30729404</v>
      </c>
    </row>
    <row r="15" spans="1:28" x14ac:dyDescent="0.35">
      <c r="Q15">
        <v>204360.56</v>
      </c>
    </row>
    <row r="16" spans="1:28" x14ac:dyDescent="0.35">
      <c r="Q16">
        <v>34053626.810000002</v>
      </c>
    </row>
    <row r="17" spans="17:17" x14ac:dyDescent="0.35">
      <c r="Q17">
        <v>0</v>
      </c>
    </row>
    <row r="18" spans="17:17" x14ac:dyDescent="0.35">
      <c r="Q18">
        <v>0</v>
      </c>
    </row>
    <row r="33" customFormat="1" x14ac:dyDescent="0.35"/>
    <row r="34" customFormat="1" x14ac:dyDescent="0.35"/>
    <row r="35" customFormat="1" x14ac:dyDescent="0.35"/>
    <row r="36" customFormat="1" x14ac:dyDescent="0.35"/>
    <row r="37" customFormat="1" x14ac:dyDescent="0.35"/>
    <row r="38" customFormat="1" x14ac:dyDescent="0.35"/>
    <row r="39" customFormat="1" x14ac:dyDescent="0.35"/>
    <row r="40" customFormat="1" x14ac:dyDescent="0.35"/>
    <row r="41" customFormat="1" x14ac:dyDescent="0.35"/>
    <row r="42" customFormat="1" x14ac:dyDescent="0.35"/>
    <row r="43" customFormat="1" x14ac:dyDescent="0.35"/>
    <row r="44" customFormat="1" x14ac:dyDescent="0.35"/>
    <row r="45" customFormat="1" x14ac:dyDescent="0.35"/>
    <row r="46" customFormat="1" x14ac:dyDescent="0.35"/>
    <row r="47" customFormat="1" x14ac:dyDescent="0.35"/>
    <row r="48" customFormat="1" x14ac:dyDescent="0.35"/>
    <row r="49" customFormat="1" x14ac:dyDescent="0.35"/>
    <row r="50" customFormat="1" x14ac:dyDescent="0.35"/>
    <row r="51" customFormat="1" x14ac:dyDescent="0.35"/>
    <row r="52" customFormat="1" x14ac:dyDescent="0.35"/>
    <row r="53" customFormat="1" x14ac:dyDescent="0.35"/>
    <row r="54" customFormat="1" x14ac:dyDescent="0.35"/>
    <row r="55" customFormat="1" x14ac:dyDescent="0.35"/>
    <row r="56" customFormat="1" x14ac:dyDescent="0.35"/>
    <row r="57" customFormat="1" x14ac:dyDescent="0.35"/>
    <row r="58" customFormat="1" x14ac:dyDescent="0.35"/>
    <row r="59" customFormat="1" x14ac:dyDescent="0.35"/>
    <row r="60" customFormat="1" x14ac:dyDescent="0.35"/>
    <row r="61" customFormat="1" x14ac:dyDescent="0.35"/>
    <row r="62" customFormat="1" x14ac:dyDescent="0.35"/>
    <row r="63" customFormat="1" x14ac:dyDescent="0.35"/>
    <row r="64" customFormat="1" x14ac:dyDescent="0.35"/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  <row r="76" customFormat="1" x14ac:dyDescent="0.35"/>
    <row r="77" customFormat="1" x14ac:dyDescent="0.35"/>
    <row r="78" customFormat="1" x14ac:dyDescent="0.35"/>
    <row r="79" customFormat="1" x14ac:dyDescent="0.35"/>
    <row r="80" customFormat="1" x14ac:dyDescent="0.35"/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  <row r="86" customFormat="1" x14ac:dyDescent="0.35"/>
    <row r="87" customFormat="1" x14ac:dyDescent="0.35"/>
    <row r="88" customFormat="1" x14ac:dyDescent="0.35"/>
    <row r="89" customFormat="1" x14ac:dyDescent="0.35"/>
    <row r="90" customFormat="1" x14ac:dyDescent="0.35"/>
    <row r="91" customFormat="1" x14ac:dyDescent="0.35"/>
    <row r="92" customFormat="1" x14ac:dyDescent="0.35"/>
    <row r="93" customFormat="1" x14ac:dyDescent="0.35"/>
    <row r="94" customFormat="1" x14ac:dyDescent="0.35"/>
    <row r="95" customFormat="1" x14ac:dyDescent="0.35"/>
    <row r="96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6FB20-1386-4444-80EE-3102DD87D6F7}">
  <dimension ref="A1:Q86"/>
  <sheetViews>
    <sheetView zoomScale="93" zoomScaleNormal="93" workbookViewId="0">
      <pane xSplit="3" ySplit="1" topLeftCell="D2" activePane="bottomRight" state="frozen"/>
      <selection pane="topRight"/>
      <selection pane="bottomLeft"/>
      <selection pane="bottomRight" activeCell="C84" sqref="C84"/>
    </sheetView>
  </sheetViews>
  <sheetFormatPr baseColWidth="10" defaultColWidth="8.81640625" defaultRowHeight="14.5" x14ac:dyDescent="0.35"/>
  <cols>
    <col min="1" max="1" width="19" customWidth="1"/>
    <col min="2" max="2" width="9.453125" customWidth="1"/>
    <col min="3" max="3" width="18.26953125" customWidth="1"/>
    <col min="4" max="7" width="14.81640625" customWidth="1"/>
    <col min="8" max="8" width="13.7265625" customWidth="1"/>
    <col min="9" max="16" width="14.81640625" customWidth="1"/>
    <col min="17" max="17" width="13.54296875" customWidth="1"/>
    <col min="18" max="18" width="13.7265625" customWidth="1"/>
    <col min="19" max="19" width="15.7265625" bestFit="1" customWidth="1"/>
  </cols>
  <sheetData>
    <row r="1" spans="1:17" s="2" customFormat="1" ht="30.75" customHeight="1" x14ac:dyDescent="0.35">
      <c r="A1" s="77" t="s">
        <v>0</v>
      </c>
      <c r="B1" s="78" t="s">
        <v>1</v>
      </c>
      <c r="C1" s="78" t="s">
        <v>2</v>
      </c>
      <c r="D1" s="77" t="s">
        <v>3</v>
      </c>
      <c r="E1" s="79" t="s">
        <v>4</v>
      </c>
      <c r="F1" s="77" t="s">
        <v>5</v>
      </c>
      <c r="G1" s="80" t="s">
        <v>6</v>
      </c>
      <c r="H1" s="79" t="s">
        <v>7</v>
      </c>
      <c r="I1" s="77" t="s">
        <v>8</v>
      </c>
      <c r="J1" s="80" t="s">
        <v>9</v>
      </c>
      <c r="K1" s="79" t="s">
        <v>10</v>
      </c>
      <c r="L1" s="78" t="s">
        <v>11</v>
      </c>
      <c r="M1" s="77" t="s">
        <v>12</v>
      </c>
      <c r="N1" s="80" t="s">
        <v>13</v>
      </c>
      <c r="O1" s="80" t="s">
        <v>14</v>
      </c>
      <c r="P1" s="77" t="s">
        <v>15</v>
      </c>
      <c r="Q1" s="81" t="s">
        <v>16</v>
      </c>
    </row>
    <row r="2" spans="1:17" ht="15" thickBot="1" x14ac:dyDescent="0.4">
      <c r="A2" s="185" t="s">
        <v>17</v>
      </c>
      <c r="B2" s="3">
        <v>2023</v>
      </c>
      <c r="C2" s="4" t="s">
        <v>48</v>
      </c>
      <c r="D2" s="20">
        <v>25050</v>
      </c>
      <c r="E2" s="21">
        <v>23540</v>
      </c>
      <c r="F2" s="21">
        <v>28470</v>
      </c>
      <c r="G2" s="21">
        <v>32440</v>
      </c>
      <c r="H2" s="21">
        <v>29130</v>
      </c>
      <c r="I2" s="21">
        <v>28000</v>
      </c>
      <c r="J2" s="21">
        <v>24570</v>
      </c>
      <c r="K2" s="21">
        <v>22460</v>
      </c>
      <c r="L2" s="21">
        <v>23800</v>
      </c>
      <c r="M2" s="21">
        <v>23380</v>
      </c>
      <c r="N2" s="21">
        <v>27630</v>
      </c>
      <c r="O2" s="21">
        <v>26090</v>
      </c>
      <c r="P2" s="82">
        <f>SUM(D2:O2)</f>
        <v>314560</v>
      </c>
      <c r="Q2" s="53" t="s">
        <v>19</v>
      </c>
    </row>
    <row r="3" spans="1:17" ht="15" thickBot="1" x14ac:dyDescent="0.4">
      <c r="A3" s="185"/>
      <c r="B3" s="3">
        <v>2024</v>
      </c>
      <c r="C3" s="7" t="s">
        <v>48</v>
      </c>
      <c r="D3" s="28">
        <v>24540</v>
      </c>
      <c r="E3" s="12">
        <v>26660</v>
      </c>
      <c r="F3" s="12">
        <v>24180</v>
      </c>
      <c r="G3" s="12">
        <v>24890</v>
      </c>
      <c r="H3" s="12">
        <v>33120</v>
      </c>
      <c r="I3" s="12">
        <v>25740</v>
      </c>
      <c r="J3" s="12">
        <v>25070</v>
      </c>
      <c r="K3" s="12">
        <v>25740</v>
      </c>
      <c r="L3" s="12">
        <v>23430</v>
      </c>
      <c r="M3" s="12">
        <v>22160</v>
      </c>
      <c r="N3" s="12">
        <v>25020</v>
      </c>
      <c r="O3" s="12">
        <v>24130</v>
      </c>
      <c r="P3" s="82">
        <f t="shared" ref="P3:P34" si="0">SUM(D3:O3)</f>
        <v>304680</v>
      </c>
      <c r="Q3" s="55">
        <f>(P3-P2)/P2</f>
        <v>-3.1408952187182093E-2</v>
      </c>
    </row>
    <row r="4" spans="1:17" ht="15" thickBot="1" x14ac:dyDescent="0.4">
      <c r="A4" s="185"/>
      <c r="B4" s="3">
        <v>2025</v>
      </c>
      <c r="C4" s="7" t="s">
        <v>48</v>
      </c>
      <c r="D4" s="28">
        <f>11040+9900</f>
        <v>20940</v>
      </c>
      <c r="E4" s="12">
        <f>15360+9450</f>
        <v>24810</v>
      </c>
      <c r="F4" s="12">
        <v>13040</v>
      </c>
      <c r="G4" s="12">
        <v>11400</v>
      </c>
      <c r="H4" s="12">
        <f>16640+9750</f>
        <v>26390</v>
      </c>
      <c r="I4" s="12">
        <f>16000+9150</f>
        <v>25150</v>
      </c>
      <c r="J4" s="12">
        <f>15520+8550</f>
        <v>24070</v>
      </c>
      <c r="K4" s="12">
        <f>14880+7650</f>
        <v>22530</v>
      </c>
      <c r="L4" s="12">
        <f>13760+7950</f>
        <v>21710</v>
      </c>
      <c r="M4" s="12">
        <f>14320+8850</f>
        <v>23170</v>
      </c>
      <c r="N4" s="12">
        <f>18560+8250</f>
        <v>26810</v>
      </c>
      <c r="O4" s="12">
        <f>15440+9450</f>
        <v>24890</v>
      </c>
      <c r="P4" s="82">
        <f t="shared" si="0"/>
        <v>264910</v>
      </c>
      <c r="Q4" s="56">
        <f>(P4-P3)/P3</f>
        <v>-0.13053039254299592</v>
      </c>
    </row>
    <row r="5" spans="1:17" ht="15" thickBot="1" x14ac:dyDescent="0.4">
      <c r="A5" s="186" t="s">
        <v>21</v>
      </c>
      <c r="B5" s="5">
        <v>2023</v>
      </c>
      <c r="C5" s="6" t="s">
        <v>48</v>
      </c>
      <c r="D5" s="31">
        <f>33189+3162+13600</f>
        <v>49951</v>
      </c>
      <c r="E5" s="32">
        <f>31568+98</f>
        <v>31666</v>
      </c>
      <c r="F5" s="32">
        <f>11600+41577+3259</f>
        <v>56436</v>
      </c>
      <c r="G5" s="32">
        <f>15200+3734+41141</f>
        <v>60075</v>
      </c>
      <c r="H5" s="32">
        <f>41680+13200+2629</f>
        <v>57509</v>
      </c>
      <c r="I5" s="32">
        <f>2729+24800+39055</f>
        <v>66584</v>
      </c>
      <c r="J5" s="32">
        <f>2820+12400+35088</f>
        <v>50308</v>
      </c>
      <c r="K5" s="32">
        <f>33012+10000+2529</f>
        <v>45541</v>
      </c>
      <c r="L5" s="32">
        <f>33397+2649+12800</f>
        <v>48846</v>
      </c>
      <c r="M5" s="32">
        <f>2412+11200+35188</f>
        <v>48800</v>
      </c>
      <c r="N5" s="32">
        <f>12400+2479+13600</f>
        <v>28479</v>
      </c>
      <c r="O5" s="32">
        <f>2488+11200+2536</f>
        <v>16224</v>
      </c>
      <c r="P5" s="82">
        <f t="shared" si="0"/>
        <v>560419</v>
      </c>
      <c r="Q5" s="53" t="s">
        <v>19</v>
      </c>
    </row>
    <row r="6" spans="1:17" ht="15" thickBot="1" x14ac:dyDescent="0.4">
      <c r="A6" s="187"/>
      <c r="B6" s="7">
        <v>2024</v>
      </c>
      <c r="C6" s="7" t="s">
        <v>48</v>
      </c>
      <c r="D6" s="28">
        <f>29264+3114+10800</f>
        <v>43178</v>
      </c>
      <c r="E6" s="12">
        <f>22745+2797+9200</f>
        <v>34742</v>
      </c>
      <c r="F6" s="12">
        <f>32464+2913+12800</f>
        <v>48177</v>
      </c>
      <c r="G6" s="12">
        <f>38744+2501+14000</f>
        <v>55245</v>
      </c>
      <c r="H6" s="12">
        <f>38432+2402+13600</f>
        <v>54434</v>
      </c>
      <c r="I6" s="12">
        <f>2368+34873+12800</f>
        <v>50041</v>
      </c>
      <c r="J6" s="12">
        <f>40331+13200+2803</f>
        <v>56334</v>
      </c>
      <c r="K6" s="12">
        <f>2064+36696+12800</f>
        <v>51560</v>
      </c>
      <c r="L6" s="12">
        <f>11600+0+31607</f>
        <v>43207</v>
      </c>
      <c r="M6" s="12">
        <f>13600+3876+31607</f>
        <v>49083</v>
      </c>
      <c r="N6" s="12">
        <f>13600+3409+35406</f>
        <v>52415</v>
      </c>
      <c r="O6" s="12">
        <f>30710+14000+0</f>
        <v>44710</v>
      </c>
      <c r="P6" s="82">
        <f t="shared" si="0"/>
        <v>583126</v>
      </c>
      <c r="Q6" s="55">
        <f>(P6-P5)/P5</f>
        <v>4.0517898215442376E-2</v>
      </c>
    </row>
    <row r="7" spans="1:17" ht="15" thickBot="1" x14ac:dyDescent="0.4">
      <c r="A7" s="184"/>
      <c r="B7" s="34">
        <v>2025</v>
      </c>
      <c r="C7" s="35" t="s">
        <v>48</v>
      </c>
      <c r="D7" s="28">
        <f>25510+13200+0</f>
        <v>38710</v>
      </c>
      <c r="E7" s="116">
        <f>11600+21745+0</f>
        <v>33345</v>
      </c>
      <c r="F7" s="116">
        <f>13600+0+28454</f>
        <v>42054</v>
      </c>
      <c r="G7" s="71">
        <f>13600+29451</f>
        <v>43051</v>
      </c>
      <c r="H7" s="12">
        <f>31708+12800+0</f>
        <v>44508</v>
      </c>
      <c r="I7" s="12">
        <f>16800+35238+0</f>
        <v>52038</v>
      </c>
      <c r="J7" s="12">
        <f>14000+10248+31809</f>
        <v>56057</v>
      </c>
      <c r="K7" s="12">
        <f>29934+0+15200</f>
        <v>45134</v>
      </c>
      <c r="L7" s="12">
        <v>32736</v>
      </c>
      <c r="M7" s="12">
        <v>40547</v>
      </c>
      <c r="N7" s="12">
        <f>3596+14800+28522</f>
        <v>46918</v>
      </c>
      <c r="O7" s="12">
        <f>(27749)+1546+(13200)</f>
        <v>42495</v>
      </c>
      <c r="P7" s="82">
        <f t="shared" si="0"/>
        <v>517593</v>
      </c>
      <c r="Q7" s="56">
        <f>(P7-P6)/P6</f>
        <v>-0.11238222956959559</v>
      </c>
    </row>
    <row r="8" spans="1:17" ht="16.5" customHeight="1" thickBot="1" x14ac:dyDescent="0.4">
      <c r="A8" s="181" t="s">
        <v>23</v>
      </c>
      <c r="B8" s="7">
        <v>2023</v>
      </c>
      <c r="C8" s="4" t="s">
        <v>48</v>
      </c>
      <c r="D8" s="20">
        <f>+(103690*0.6)+8880+3720+200+1080</f>
        <v>76094</v>
      </c>
      <c r="E8" s="21">
        <f>(99698*0.6)+10800+3520+144+940</f>
        <v>75222.799999999988</v>
      </c>
      <c r="F8" s="21">
        <f>+(156038*0.6)+8880+4880+185+1160</f>
        <v>108727.8</v>
      </c>
      <c r="G8" s="21">
        <f>+(125907*0.6)+9480+5960+296</f>
        <v>91280.2</v>
      </c>
      <c r="H8" s="70">
        <f>9960+6960+383+1580+82346</f>
        <v>101229</v>
      </c>
      <c r="I8" s="21">
        <f>+(119054*0.6)+9540+7640+423</f>
        <v>89035.4</v>
      </c>
      <c r="J8" s="21">
        <f>+(118590*0.6)+7680+311+1280+6760</f>
        <v>87185</v>
      </c>
      <c r="K8" s="21">
        <f>+(121260*0.6)+7140+4440+288</f>
        <v>84624</v>
      </c>
      <c r="L8" s="21">
        <f>+(111871*0.6)+8280+5520+248+1880</f>
        <v>83050.599999999991</v>
      </c>
      <c r="M8" s="21">
        <f>+(104337*0.6)+7440+4960+378</f>
        <v>75380.2</v>
      </c>
      <c r="N8" s="21">
        <f>1720+408+7800+6240+(108541*0.6)</f>
        <v>81292.600000000006</v>
      </c>
      <c r="O8" s="21">
        <f>+(108730*0.6)+6360+5960+297+1300</f>
        <v>79155</v>
      </c>
      <c r="P8" s="82">
        <f t="shared" si="0"/>
        <v>1032276.5999999999</v>
      </c>
      <c r="Q8" s="53" t="s">
        <v>19</v>
      </c>
    </row>
    <row r="9" spans="1:17" ht="15" thickBot="1" x14ac:dyDescent="0.4">
      <c r="A9" s="182"/>
      <c r="B9" s="7">
        <v>2024</v>
      </c>
      <c r="C9" s="7" t="s">
        <v>48</v>
      </c>
      <c r="D9" s="28">
        <f>+(113025*0.6)+149+960+6120+4720</f>
        <v>79764</v>
      </c>
      <c r="E9" s="12">
        <f>4680+(107720*0.6)+142+780+5340</f>
        <v>75574</v>
      </c>
      <c r="F9" s="12">
        <f>5760+(144628*0.6)+6360+234+1080</f>
        <v>100210.8</v>
      </c>
      <c r="G9" s="12">
        <f>275+6760+1420+(131140*0.6)+8160</f>
        <v>95299</v>
      </c>
      <c r="H9" s="12">
        <f>+(134917*0.6)+9900+426+1920+8800</f>
        <v>101996.2</v>
      </c>
      <c r="I9" s="12">
        <f>9240+349+1940+7760+(124230*0.6)</f>
        <v>93827</v>
      </c>
      <c r="J9" s="12">
        <f>+(125525*0.6)+10980+238+1960+7320</f>
        <v>95813</v>
      </c>
      <c r="K9" s="12">
        <f>2760+136+1140+(133860*0.6)+6660</f>
        <v>91012</v>
      </c>
      <c r="L9" s="12">
        <f>1360+(102381*0.6)+5160+740+55</f>
        <v>68743.600000000006</v>
      </c>
      <c r="M9" s="12">
        <f>1280+(117716*0.6)+5580+88+680</f>
        <v>78257.599999999991</v>
      </c>
      <c r="N9" s="12">
        <f>1280+(127201*0.6)+5340+57+440</f>
        <v>83437.599999999991</v>
      </c>
      <c r="O9" s="12">
        <f>1120+67+420+(119634*0.6)+4800</f>
        <v>78187.399999999994</v>
      </c>
      <c r="P9" s="82">
        <f t="shared" si="0"/>
        <v>1042122.2</v>
      </c>
      <c r="Q9" s="55">
        <f>(P9-P8)/P8</f>
        <v>9.5377537377095388E-3</v>
      </c>
    </row>
    <row r="10" spans="1:17" ht="18.75" customHeight="1" thickBot="1" x14ac:dyDescent="0.4">
      <c r="A10" s="182"/>
      <c r="B10" s="3">
        <v>2025</v>
      </c>
      <c r="C10" s="7" t="s">
        <v>48</v>
      </c>
      <c r="D10" s="28">
        <f>+(123873*0.6)+4800+1320+40+420</f>
        <v>80903.8</v>
      </c>
      <c r="E10" s="12">
        <f>+(94774*0.6)+3420+1440+86+280</f>
        <v>62090.400000000001</v>
      </c>
      <c r="F10" s="12">
        <f>+(140936*0.6)+1160+4800</f>
        <v>90521.599999999991</v>
      </c>
      <c r="G10" s="12">
        <f>+(119439*0.6)+6160</f>
        <v>77823.399999999994</v>
      </c>
      <c r="H10" s="12">
        <f>+(115073*0.6)+6780</f>
        <v>75823.8</v>
      </c>
      <c r="I10" s="12">
        <f>+(130638*0.6)+7620</f>
        <v>86002.8</v>
      </c>
      <c r="J10" s="12">
        <f>+(123920*0.6)+6120</f>
        <v>80472</v>
      </c>
      <c r="K10" s="12">
        <f>+(124708*0.6)+6660</f>
        <v>81484.800000000003</v>
      </c>
      <c r="L10" s="12">
        <f>+(113743*0.6)+5880</f>
        <v>74125.8</v>
      </c>
      <c r="M10" s="12">
        <f>+(127521*0.6)+6060</f>
        <v>82572.599999999991</v>
      </c>
      <c r="N10" s="12">
        <f>5640+(130697*0.6)</f>
        <v>84058.2</v>
      </c>
      <c r="O10" s="149">
        <f>(237329+24393)/2*0.6+(4860+240)</f>
        <v>83616.599999999991</v>
      </c>
      <c r="P10" s="82">
        <f t="shared" si="0"/>
        <v>959495.79999999993</v>
      </c>
      <c r="Q10" s="56">
        <f>(P10-P9)/P9</f>
        <v>-7.9286670987337216E-2</v>
      </c>
    </row>
    <row r="11" spans="1:17" ht="15" thickBot="1" x14ac:dyDescent="0.4">
      <c r="A11" s="183" t="s">
        <v>24</v>
      </c>
      <c r="B11" s="7">
        <v>2023</v>
      </c>
      <c r="C11" s="4" t="s">
        <v>48</v>
      </c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82">
        <f t="shared" si="0"/>
        <v>0</v>
      </c>
      <c r="Q11" s="53" t="s">
        <v>19</v>
      </c>
    </row>
    <row r="12" spans="1:17" ht="15" thickBot="1" x14ac:dyDescent="0.4">
      <c r="A12" s="184"/>
      <c r="B12" s="7">
        <v>2024</v>
      </c>
      <c r="C12" s="7" t="s">
        <v>48</v>
      </c>
      <c r="D12" s="28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82">
        <f t="shared" si="0"/>
        <v>0</v>
      </c>
      <c r="Q12" s="55" t="e">
        <f>(P12-P11)/P11</f>
        <v>#DIV/0!</v>
      </c>
    </row>
    <row r="13" spans="1:17" ht="15" thickBot="1" x14ac:dyDescent="0.4">
      <c r="A13" s="184"/>
      <c r="B13" s="3">
        <v>2025</v>
      </c>
      <c r="C13" s="7" t="s">
        <v>48</v>
      </c>
      <c r="D13" s="28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82">
        <f t="shared" si="0"/>
        <v>0</v>
      </c>
      <c r="Q13" s="56" t="e">
        <f>(P13-P12)/P12</f>
        <v>#DIV/0!</v>
      </c>
    </row>
    <row r="14" spans="1:17" ht="15" thickBot="1" x14ac:dyDescent="0.4">
      <c r="A14" s="181" t="s">
        <v>25</v>
      </c>
      <c r="B14" s="7">
        <v>2023</v>
      </c>
      <c r="C14" s="4" t="s">
        <v>48</v>
      </c>
      <c r="D14" s="20">
        <v>5570</v>
      </c>
      <c r="E14" s="21">
        <v>5720</v>
      </c>
      <c r="F14" s="21">
        <v>7390</v>
      </c>
      <c r="G14" s="21">
        <v>8640</v>
      </c>
      <c r="H14" s="21">
        <v>10920</v>
      </c>
      <c r="I14" s="21">
        <v>10600</v>
      </c>
      <c r="J14" s="21">
        <v>10600</v>
      </c>
      <c r="K14" s="21">
        <v>10600</v>
      </c>
      <c r="L14" s="21">
        <v>10630</v>
      </c>
      <c r="M14" s="21">
        <v>10140</v>
      </c>
      <c r="N14" s="21">
        <v>9710</v>
      </c>
      <c r="O14" s="21">
        <v>8210</v>
      </c>
      <c r="P14" s="83">
        <f t="shared" si="0"/>
        <v>108730</v>
      </c>
      <c r="Q14" s="53" t="s">
        <v>19</v>
      </c>
    </row>
    <row r="15" spans="1:17" ht="15" thickBot="1" x14ac:dyDescent="0.4">
      <c r="A15" s="182"/>
      <c r="B15" s="7">
        <v>2024</v>
      </c>
      <c r="C15" s="7" t="s">
        <v>48</v>
      </c>
      <c r="D15" s="28">
        <v>6270</v>
      </c>
      <c r="E15" s="12">
        <v>6340</v>
      </c>
      <c r="F15" s="12">
        <v>7910</v>
      </c>
      <c r="G15" s="12">
        <v>9430</v>
      </c>
      <c r="H15" s="12">
        <v>12180</v>
      </c>
      <c r="I15" s="12">
        <v>12040</v>
      </c>
      <c r="J15" s="12">
        <v>11620</v>
      </c>
      <c r="K15" s="12">
        <v>10410</v>
      </c>
      <c r="L15" s="12">
        <v>9330</v>
      </c>
      <c r="M15" s="12">
        <v>10170</v>
      </c>
      <c r="N15" s="71">
        <v>8320</v>
      </c>
      <c r="O15" s="12">
        <v>7700</v>
      </c>
      <c r="P15" s="83">
        <f t="shared" si="0"/>
        <v>111720</v>
      </c>
      <c r="Q15" s="55">
        <f>(P15-P14)/P14</f>
        <v>2.7499310217971123E-2</v>
      </c>
    </row>
    <row r="16" spans="1:17" ht="15" thickBot="1" x14ac:dyDescent="0.4">
      <c r="A16" s="182"/>
      <c r="B16" s="3">
        <v>2025</v>
      </c>
      <c r="C16" s="7" t="s">
        <v>48</v>
      </c>
      <c r="D16" s="28">
        <v>5340</v>
      </c>
      <c r="E16" s="116">
        <v>5840</v>
      </c>
      <c r="F16" s="116">
        <v>0</v>
      </c>
      <c r="G16" s="12">
        <v>6490</v>
      </c>
      <c r="H16" s="12">
        <v>10630</v>
      </c>
      <c r="I16" s="12">
        <v>0</v>
      </c>
      <c r="J16" s="12">
        <v>12540</v>
      </c>
      <c r="K16" s="12">
        <v>9580</v>
      </c>
      <c r="L16" s="12">
        <v>9790</v>
      </c>
      <c r="M16" s="12">
        <v>9700</v>
      </c>
      <c r="N16" s="12">
        <v>8670</v>
      </c>
      <c r="O16" s="12">
        <v>7990</v>
      </c>
      <c r="P16" s="83">
        <f t="shared" si="0"/>
        <v>86570</v>
      </c>
      <c r="Q16" s="56">
        <f>(P16-P15)/P15</f>
        <v>-0.22511636233440746</v>
      </c>
    </row>
    <row r="17" spans="1:17" ht="15" thickBot="1" x14ac:dyDescent="0.4">
      <c r="A17" s="183" t="s">
        <v>26</v>
      </c>
      <c r="B17" s="7">
        <v>2023</v>
      </c>
      <c r="C17" s="4" t="s">
        <v>48</v>
      </c>
      <c r="D17" s="20">
        <v>99</v>
      </c>
      <c r="E17" s="21">
        <v>76</v>
      </c>
      <c r="F17" s="21">
        <v>7239</v>
      </c>
      <c r="G17" s="21">
        <v>11300</v>
      </c>
      <c r="H17" s="21">
        <v>14332</v>
      </c>
      <c r="I17" s="21">
        <v>15900</v>
      </c>
      <c r="J17" s="21">
        <v>17550</v>
      </c>
      <c r="K17" s="21">
        <v>14550</v>
      </c>
      <c r="L17" s="21">
        <v>15000</v>
      </c>
      <c r="M17" s="21">
        <v>13500</v>
      </c>
      <c r="N17" s="21">
        <v>14100</v>
      </c>
      <c r="O17" s="21">
        <v>12000</v>
      </c>
      <c r="P17" s="82">
        <f t="shared" si="0"/>
        <v>135646</v>
      </c>
      <c r="Q17" s="53" t="s">
        <v>19</v>
      </c>
    </row>
    <row r="18" spans="1:17" ht="15" thickBot="1" x14ac:dyDescent="0.4">
      <c r="A18" s="184"/>
      <c r="B18" s="7">
        <v>2024</v>
      </c>
      <c r="C18" s="7" t="s">
        <v>48</v>
      </c>
      <c r="D18" s="28">
        <v>12900</v>
      </c>
      <c r="E18" s="12">
        <v>12600</v>
      </c>
      <c r="F18" s="28">
        <v>12600</v>
      </c>
      <c r="G18" s="12">
        <v>10800</v>
      </c>
      <c r="H18" s="12">
        <v>13800</v>
      </c>
      <c r="I18" s="12">
        <v>16650</v>
      </c>
      <c r="J18" s="12">
        <v>17400</v>
      </c>
      <c r="K18" s="12">
        <v>18450</v>
      </c>
      <c r="L18" s="12">
        <v>15600</v>
      </c>
      <c r="M18" s="12">
        <v>17400</v>
      </c>
      <c r="N18" s="12">
        <v>9600</v>
      </c>
      <c r="O18" s="12">
        <v>11550</v>
      </c>
      <c r="P18" s="82">
        <f t="shared" si="0"/>
        <v>169350</v>
      </c>
      <c r="Q18" s="55">
        <f>(P18-P17)/P17</f>
        <v>0.24847028294236467</v>
      </c>
    </row>
    <row r="19" spans="1:17" ht="15" thickBot="1" x14ac:dyDescent="0.4">
      <c r="A19" s="184"/>
      <c r="B19" s="3">
        <v>2025</v>
      </c>
      <c r="C19" s="7" t="s">
        <v>48</v>
      </c>
      <c r="D19" s="12">
        <v>13350</v>
      </c>
      <c r="E19" s="12">
        <v>11100</v>
      </c>
      <c r="F19" s="12">
        <v>11250</v>
      </c>
      <c r="G19" s="12">
        <v>10950</v>
      </c>
      <c r="H19" s="12">
        <v>12300</v>
      </c>
      <c r="I19" s="12">
        <v>15900</v>
      </c>
      <c r="J19" s="12">
        <v>19050</v>
      </c>
      <c r="K19" s="12">
        <v>11850</v>
      </c>
      <c r="L19" s="12">
        <v>12000</v>
      </c>
      <c r="M19" s="12">
        <v>12300</v>
      </c>
      <c r="N19" s="12">
        <v>12150</v>
      </c>
      <c r="O19" s="12">
        <v>11250</v>
      </c>
      <c r="P19" s="82">
        <f t="shared" si="0"/>
        <v>153450</v>
      </c>
      <c r="Q19" s="56">
        <f>(P19-P18)/P18</f>
        <v>-9.3888396811337468E-2</v>
      </c>
    </row>
    <row r="20" spans="1:17" ht="15" thickBot="1" x14ac:dyDescent="0.4">
      <c r="A20" s="181" t="s">
        <v>27</v>
      </c>
      <c r="B20" s="7">
        <v>2023</v>
      </c>
      <c r="C20" s="4" t="s">
        <v>48</v>
      </c>
      <c r="D20" s="20">
        <f>266+0+10200+6000</f>
        <v>16466</v>
      </c>
      <c r="E20" s="21">
        <v>26979</v>
      </c>
      <c r="F20" s="21">
        <v>37496</v>
      </c>
      <c r="G20" s="21">
        <v>25536</v>
      </c>
      <c r="H20" s="21">
        <v>27806</v>
      </c>
      <c r="I20" s="21">
        <v>26203</v>
      </c>
      <c r="J20" s="21">
        <v>24404</v>
      </c>
      <c r="K20" s="21">
        <v>42400</v>
      </c>
      <c r="L20" s="21">
        <v>27683</v>
      </c>
      <c r="M20" s="21">
        <v>23765</v>
      </c>
      <c r="N20" s="21">
        <v>22338</v>
      </c>
      <c r="O20" s="21">
        <v>22743</v>
      </c>
      <c r="P20" s="82">
        <f t="shared" si="0"/>
        <v>323819</v>
      </c>
      <c r="Q20" s="53" t="s">
        <v>19</v>
      </c>
    </row>
    <row r="21" spans="1:17" ht="15" thickBot="1" x14ac:dyDescent="0.4">
      <c r="A21" s="182"/>
      <c r="B21" s="7">
        <v>2024</v>
      </c>
      <c r="C21" s="7" t="s">
        <v>48</v>
      </c>
      <c r="D21" s="28">
        <v>15174</v>
      </c>
      <c r="E21" s="12">
        <v>13606</v>
      </c>
      <c r="F21" s="12">
        <v>22283</v>
      </c>
      <c r="G21" s="12">
        <v>30875</v>
      </c>
      <c r="H21" s="12">
        <v>32685</v>
      </c>
      <c r="I21" s="12">
        <v>34502</v>
      </c>
      <c r="J21" s="12">
        <v>36175</v>
      </c>
      <c r="K21" s="12">
        <v>32826</v>
      </c>
      <c r="L21" s="12">
        <v>28125</v>
      </c>
      <c r="M21" s="12">
        <v>29839</v>
      </c>
      <c r="N21" s="12">
        <v>26684</v>
      </c>
      <c r="O21" s="12">
        <v>20177</v>
      </c>
      <c r="P21" s="82">
        <f t="shared" si="0"/>
        <v>322951</v>
      </c>
      <c r="Q21" s="55">
        <f>(P21-P20)/P20</f>
        <v>-2.6805097909634703E-3</v>
      </c>
    </row>
    <row r="22" spans="1:17" ht="17.25" customHeight="1" thickBot="1" x14ac:dyDescent="0.4">
      <c r="A22" s="182"/>
      <c r="B22" s="3">
        <v>2025</v>
      </c>
      <c r="C22" s="7" t="s">
        <v>48</v>
      </c>
      <c r="D22" s="28">
        <f>886+455+9360+50+6300</f>
        <v>17051</v>
      </c>
      <c r="E22" s="12">
        <f>724+387+7680+50+6180</f>
        <v>15021</v>
      </c>
      <c r="F22" s="12">
        <f>642+406+11880+400</f>
        <v>13328</v>
      </c>
      <c r="G22" s="12">
        <f>537+1322+15240+8400+600</f>
        <v>26099</v>
      </c>
      <c r="H22" s="12">
        <f>621+3321+17220+1150+8280</f>
        <v>30592</v>
      </c>
      <c r="I22" s="12">
        <f>587+3788+19020+1500+9300</f>
        <v>34195</v>
      </c>
      <c r="J22" s="12">
        <f>757+3783+16560+450+10740</f>
        <v>32290</v>
      </c>
      <c r="K22" s="12">
        <f>554+3402+14220+550+8580+8220</f>
        <v>35526</v>
      </c>
      <c r="L22" s="12">
        <f>14940+3411+650+7920+576</f>
        <v>27497</v>
      </c>
      <c r="M22" s="12">
        <f>590+3589+15900+600</f>
        <v>20679</v>
      </c>
      <c r="N22" s="12">
        <f>437+3077+13140+550+7080</f>
        <v>24284</v>
      </c>
      <c r="O22" s="12">
        <f>434+2450+10620+300+4140+6900</f>
        <v>24844</v>
      </c>
      <c r="P22" s="82">
        <f t="shared" si="0"/>
        <v>301406</v>
      </c>
      <c r="Q22" s="56">
        <f>(P22-P21)/P21</f>
        <v>-6.6712906911574818E-2</v>
      </c>
    </row>
    <row r="23" spans="1:17" ht="15" thickBot="1" x14ac:dyDescent="0.4">
      <c r="A23" s="183" t="s">
        <v>28</v>
      </c>
      <c r="B23" s="7">
        <v>2023</v>
      </c>
      <c r="C23" s="4" t="s">
        <v>48</v>
      </c>
      <c r="D23" s="20">
        <v>5561</v>
      </c>
      <c r="E23" s="21">
        <v>6276</v>
      </c>
      <c r="F23" s="21">
        <v>5607.4</v>
      </c>
      <c r="G23" s="21">
        <v>5388.7</v>
      </c>
      <c r="H23" s="21">
        <v>6006.2</v>
      </c>
      <c r="I23" s="21">
        <v>5593</v>
      </c>
      <c r="J23" s="21">
        <v>6796.3</v>
      </c>
      <c r="K23" s="21">
        <v>6790.2</v>
      </c>
      <c r="L23" s="21">
        <v>6218.3</v>
      </c>
      <c r="M23" s="21">
        <v>6404.2</v>
      </c>
      <c r="N23" s="21">
        <v>5962.9</v>
      </c>
      <c r="O23" s="21">
        <v>5638.2</v>
      </c>
      <c r="P23" s="83">
        <f t="shared" si="0"/>
        <v>72242.399999999994</v>
      </c>
      <c r="Q23" s="56" t="s">
        <v>19</v>
      </c>
    </row>
    <row r="24" spans="1:17" ht="15" thickBot="1" x14ac:dyDescent="0.4">
      <c r="A24" s="184"/>
      <c r="B24" s="7">
        <v>2024</v>
      </c>
      <c r="C24" s="7" t="s">
        <v>48</v>
      </c>
      <c r="D24" s="28">
        <v>6058.9</v>
      </c>
      <c r="E24" s="12">
        <f>390.2+1591.2+93.6+4822.5</f>
        <v>6897.5</v>
      </c>
      <c r="F24" s="12">
        <f>328.8+1802.5+138.7+4801.7</f>
        <v>7071.7</v>
      </c>
      <c r="G24" s="12">
        <v>6892.3</v>
      </c>
      <c r="H24" s="12">
        <v>6731</v>
      </c>
      <c r="I24" s="12">
        <v>7004.4</v>
      </c>
      <c r="J24" s="12">
        <v>6905.4</v>
      </c>
      <c r="K24" s="12">
        <v>6842.7</v>
      </c>
      <c r="L24" s="12">
        <v>6852.7</v>
      </c>
      <c r="M24" s="12">
        <v>6175.6</v>
      </c>
      <c r="N24" s="12">
        <v>6149.7</v>
      </c>
      <c r="O24" s="12">
        <v>6468</v>
      </c>
      <c r="P24" s="83">
        <f t="shared" si="0"/>
        <v>80049.899999999994</v>
      </c>
      <c r="Q24" s="55">
        <f>(P24-P23)/P23</f>
        <v>0.10807365203813828</v>
      </c>
    </row>
    <row r="25" spans="1:17" ht="16.5" customHeight="1" thickBot="1" x14ac:dyDescent="0.4">
      <c r="A25" s="184"/>
      <c r="B25" s="3">
        <v>2025</v>
      </c>
      <c r="C25" s="7" t="s">
        <v>48</v>
      </c>
      <c r="D25" s="28">
        <f>200.3+1874.6+3.6+4508.6</f>
        <v>6587.1</v>
      </c>
      <c r="E25" s="12">
        <f>4450.6+1920.2+7.7+171.2</f>
        <v>6549.7</v>
      </c>
      <c r="F25" s="12">
        <f>4000.3+1812.1+18.1+300.1</f>
        <v>6130.6</v>
      </c>
      <c r="G25" s="12">
        <f>400.3+321.7+1550.9+124.5+4470.98</f>
        <v>6868.3799999999992</v>
      </c>
      <c r="H25" s="12">
        <f>4410+1717+22.7+466.5</f>
        <v>6616.2</v>
      </c>
      <c r="I25" s="12">
        <f>4233+1656.8+409.3+25.6</f>
        <v>6324.7000000000007</v>
      </c>
      <c r="J25" s="12">
        <f>4450.6+1920.2+7.7+171.2</f>
        <v>6549.7</v>
      </c>
      <c r="K25" s="12">
        <f>4060.4+1920.5+25.4</f>
        <v>6006.2999999999993</v>
      </c>
      <c r="L25" s="12">
        <f>4208.6+1878.8+20.9+540.8</f>
        <v>6649.1</v>
      </c>
      <c r="M25" s="12">
        <f>4217.9+1643.1+19.9+586</f>
        <v>6466.9</v>
      </c>
      <c r="N25" s="12">
        <f>4108.7+1638.7+12.3+441.9</f>
        <v>6201.5999999999995</v>
      </c>
      <c r="O25" s="12">
        <f>4888.8+2030.9+17.2+326.1</f>
        <v>7263.0000000000009</v>
      </c>
      <c r="P25" s="83">
        <f t="shared" si="0"/>
        <v>78213.279999999999</v>
      </c>
      <c r="Q25" s="56">
        <f>(P25-P24)/P24</f>
        <v>-2.294343902990504E-2</v>
      </c>
    </row>
    <row r="26" spans="1:17" ht="15" thickBot="1" x14ac:dyDescent="0.4">
      <c r="A26" s="181" t="s">
        <v>29</v>
      </c>
      <c r="B26" s="7">
        <v>2023</v>
      </c>
      <c r="C26" s="4" t="s">
        <v>48</v>
      </c>
      <c r="D26" s="20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83">
        <f t="shared" si="0"/>
        <v>0</v>
      </c>
      <c r="Q26" s="53" t="s">
        <v>19</v>
      </c>
    </row>
    <row r="27" spans="1:17" ht="15" thickBot="1" x14ac:dyDescent="0.4">
      <c r="A27" s="182"/>
      <c r="B27" s="7">
        <v>2024</v>
      </c>
      <c r="C27" s="7" t="s">
        <v>48</v>
      </c>
      <c r="D27" s="28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83">
        <f t="shared" si="0"/>
        <v>0</v>
      </c>
      <c r="Q27" s="55" t="e">
        <f>(P27-P26)/P26</f>
        <v>#DIV/0!</v>
      </c>
    </row>
    <row r="28" spans="1:17" ht="15" thickBot="1" x14ac:dyDescent="0.4">
      <c r="A28" s="182"/>
      <c r="B28" s="3">
        <v>2025</v>
      </c>
      <c r="C28" s="7" t="s">
        <v>48</v>
      </c>
      <c r="D28" s="28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3">
        <f t="shared" si="0"/>
        <v>0</v>
      </c>
      <c r="Q28" s="56" t="e">
        <f>(P28-P27)/P27</f>
        <v>#DIV/0!</v>
      </c>
    </row>
    <row r="29" spans="1:17" ht="15" thickBot="1" x14ac:dyDescent="0.4">
      <c r="A29" s="183" t="s">
        <v>30</v>
      </c>
      <c r="B29" s="7">
        <v>2023</v>
      </c>
      <c r="C29" s="4" t="s">
        <v>48</v>
      </c>
      <c r="D29" s="20">
        <v>8900</v>
      </c>
      <c r="E29" s="21">
        <v>6600</v>
      </c>
      <c r="F29" s="21">
        <v>6950</v>
      </c>
      <c r="G29" s="21">
        <v>9300</v>
      </c>
      <c r="H29" s="21">
        <v>10200</v>
      </c>
      <c r="I29" s="21">
        <v>13500</v>
      </c>
      <c r="J29" s="21">
        <v>13900</v>
      </c>
      <c r="K29" s="21">
        <v>11300</v>
      </c>
      <c r="L29" s="21">
        <v>13400</v>
      </c>
      <c r="M29" s="21">
        <v>11100</v>
      </c>
      <c r="N29" s="21">
        <v>10500</v>
      </c>
      <c r="O29" s="21">
        <v>9800</v>
      </c>
      <c r="P29" s="83">
        <f t="shared" si="0"/>
        <v>125450</v>
      </c>
      <c r="Q29" s="53" t="s">
        <v>19</v>
      </c>
    </row>
    <row r="30" spans="1:17" ht="15" thickBot="1" x14ac:dyDescent="0.4">
      <c r="A30" s="184"/>
      <c r="B30" s="7">
        <v>2024</v>
      </c>
      <c r="C30" s="7" t="s">
        <v>48</v>
      </c>
      <c r="D30" s="20">
        <v>10830</v>
      </c>
      <c r="E30" s="21">
        <v>8070</v>
      </c>
      <c r="F30" s="21">
        <v>9270</v>
      </c>
      <c r="G30" s="21">
        <v>12061</v>
      </c>
      <c r="H30" s="21">
        <v>15850</v>
      </c>
      <c r="I30" s="21">
        <v>17655</v>
      </c>
      <c r="J30" s="21">
        <v>19851</v>
      </c>
      <c r="K30" s="21">
        <v>19174</v>
      </c>
      <c r="L30" s="21">
        <v>20011</v>
      </c>
      <c r="M30" s="21">
        <v>15772</v>
      </c>
      <c r="N30" s="21">
        <v>13435</v>
      </c>
      <c r="O30" s="21">
        <v>9560</v>
      </c>
      <c r="P30" s="83">
        <f t="shared" si="0"/>
        <v>171539</v>
      </c>
      <c r="Q30" s="55">
        <f>(P30-P29)/P29</f>
        <v>0.36738939816660021</v>
      </c>
    </row>
    <row r="31" spans="1:17" ht="15" thickBot="1" x14ac:dyDescent="0.4">
      <c r="A31" s="184"/>
      <c r="B31" s="3">
        <v>2025</v>
      </c>
      <c r="C31" s="7" t="s">
        <v>48</v>
      </c>
      <c r="D31" s="20">
        <f>8000+2457+2720</f>
        <v>13177</v>
      </c>
      <c r="E31" s="21">
        <f>7100+2576+240</f>
        <v>9916</v>
      </c>
      <c r="F31" s="21">
        <f>4800+1842+1280</f>
        <v>7922</v>
      </c>
      <c r="G31" s="21">
        <f>8500+1809+2160</f>
        <v>12469</v>
      </c>
      <c r="H31" s="21">
        <f>10100+2160+2517</f>
        <v>14777</v>
      </c>
      <c r="I31" s="21">
        <f>7674+3680+2787</f>
        <v>14141</v>
      </c>
      <c r="J31" s="21">
        <f>13874+3471+3360</f>
        <v>20705</v>
      </c>
      <c r="K31" s="21">
        <f>12500+2968+2000</f>
        <v>17468</v>
      </c>
      <c r="L31" s="21">
        <f>10500+2757+2160</f>
        <v>15417</v>
      </c>
      <c r="M31" s="21">
        <f>10100+2240+2545</f>
        <v>14885</v>
      </c>
      <c r="N31" s="21">
        <f>9800+2223+1440</f>
        <v>13463</v>
      </c>
      <c r="O31" s="21">
        <f>10000+1040+2333</f>
        <v>13373</v>
      </c>
      <c r="P31" s="83">
        <f t="shared" si="0"/>
        <v>167713</v>
      </c>
      <c r="Q31" s="56">
        <f>(P31-P30)/P30</f>
        <v>-2.2303965861990568E-2</v>
      </c>
    </row>
    <row r="32" spans="1:17" ht="15" thickBot="1" x14ac:dyDescent="0.4">
      <c r="A32" s="181" t="s">
        <v>31</v>
      </c>
      <c r="B32" s="7">
        <v>2023</v>
      </c>
      <c r="C32" s="4" t="s">
        <v>48</v>
      </c>
      <c r="D32" s="20">
        <v>19855.560000000001</v>
      </c>
      <c r="E32" s="21">
        <v>21764.49</v>
      </c>
      <c r="F32" s="21">
        <v>26240.13</v>
      </c>
      <c r="G32" s="21">
        <v>20963.43</v>
      </c>
      <c r="H32" s="21">
        <v>17645.36</v>
      </c>
      <c r="I32" s="21">
        <v>13207.29</v>
      </c>
      <c r="J32" s="21">
        <v>12663.3</v>
      </c>
      <c r="K32" s="21">
        <v>13296.5</v>
      </c>
      <c r="L32" s="21">
        <v>13638.92</v>
      </c>
      <c r="M32" s="21">
        <v>14825.5</v>
      </c>
      <c r="N32" s="21">
        <v>17355.11</v>
      </c>
      <c r="O32" s="21">
        <v>18285.02</v>
      </c>
      <c r="P32" s="83">
        <f t="shared" si="0"/>
        <v>209740.61000000002</v>
      </c>
      <c r="Q32" s="53" t="s">
        <v>19</v>
      </c>
    </row>
    <row r="33" spans="1:17" ht="15" thickBot="1" x14ac:dyDescent="0.4">
      <c r="A33" s="182"/>
      <c r="B33" s="7">
        <v>2024</v>
      </c>
      <c r="C33" s="7" t="s">
        <v>48</v>
      </c>
      <c r="D33" s="20">
        <v>21390.41</v>
      </c>
      <c r="E33" s="21">
        <v>19797.43</v>
      </c>
      <c r="F33" s="21">
        <v>21716.38</v>
      </c>
      <c r="G33" s="21">
        <v>18282.71</v>
      </c>
      <c r="H33" s="21">
        <v>14131.16</v>
      </c>
      <c r="I33" s="21">
        <v>13850.79</v>
      </c>
      <c r="J33" s="21">
        <v>15658.92</v>
      </c>
      <c r="K33" s="21">
        <v>13676.33</v>
      </c>
      <c r="L33" s="21">
        <v>12686.92</v>
      </c>
      <c r="M33" s="21">
        <v>16731.73</v>
      </c>
      <c r="N33" s="21">
        <v>19001.61</v>
      </c>
      <c r="O33" s="21">
        <v>17436.169999999998</v>
      </c>
      <c r="P33" s="83">
        <f t="shared" si="0"/>
        <v>204360.56</v>
      </c>
      <c r="Q33" s="55">
        <f>(P33-P32)/P32</f>
        <v>-2.5650969547576015E-2</v>
      </c>
    </row>
    <row r="34" spans="1:17" ht="15" thickBot="1" x14ac:dyDescent="0.4">
      <c r="A34" s="182"/>
      <c r="B34" s="3">
        <v>2025</v>
      </c>
      <c r="C34" s="7" t="s">
        <v>48</v>
      </c>
      <c r="D34" s="117">
        <f>15853.23+284.95+150.25+151.56</f>
        <v>16439.990000000002</v>
      </c>
      <c r="E34" s="115">
        <v>18260.36</v>
      </c>
      <c r="F34" s="115">
        <v>18642.02</v>
      </c>
      <c r="G34" s="21">
        <v>15874.15</v>
      </c>
      <c r="H34" s="21">
        <v>14388.97</v>
      </c>
      <c r="I34" s="21">
        <v>15278.82</v>
      </c>
      <c r="J34" s="21">
        <v>13813.41</v>
      </c>
      <c r="K34" s="21">
        <v>14089.36</v>
      </c>
      <c r="L34" s="21">
        <v>13614.96</v>
      </c>
      <c r="M34" s="21">
        <v>17677.169999999998</v>
      </c>
      <c r="N34" s="21">
        <v>18430.63</v>
      </c>
      <c r="O34" s="21">
        <v>18623.48</v>
      </c>
      <c r="P34" s="83">
        <f t="shared" si="0"/>
        <v>195133.32000000004</v>
      </c>
      <c r="Q34" s="56">
        <f>(P34-P33)/P33</f>
        <v>-4.5151765095965489E-2</v>
      </c>
    </row>
    <row r="35" spans="1:17" ht="15" thickBot="1" x14ac:dyDescent="0.4">
      <c r="A35" s="183" t="s">
        <v>32</v>
      </c>
      <c r="B35" s="7">
        <v>2023</v>
      </c>
      <c r="C35" s="4" t="s">
        <v>48</v>
      </c>
      <c r="D35" s="20">
        <v>33953</v>
      </c>
      <c r="E35" s="21">
        <v>38980</v>
      </c>
      <c r="F35" s="21">
        <v>43255</v>
      </c>
      <c r="G35" s="21">
        <v>32088</v>
      </c>
      <c r="H35" s="21">
        <v>31879</v>
      </c>
      <c r="I35" s="21">
        <v>34956</v>
      </c>
      <c r="J35" s="21">
        <v>36182</v>
      </c>
      <c r="K35" s="21">
        <v>32046</v>
      </c>
      <c r="L35" s="21">
        <v>29660</v>
      </c>
      <c r="M35" s="21">
        <v>28340</v>
      </c>
      <c r="N35" s="21">
        <v>29795</v>
      </c>
      <c r="O35" s="21">
        <v>36611</v>
      </c>
      <c r="P35" s="83">
        <f t="shared" ref="P35:P66" si="1">SUM(D35:O35)</f>
        <v>407745</v>
      </c>
      <c r="Q35" s="53" t="s">
        <v>19</v>
      </c>
    </row>
    <row r="36" spans="1:17" ht="15" thickBot="1" x14ac:dyDescent="0.4">
      <c r="A36" s="184"/>
      <c r="B36" s="7">
        <v>2024</v>
      </c>
      <c r="C36" s="7" t="s">
        <v>48</v>
      </c>
      <c r="D36" s="20">
        <v>44190</v>
      </c>
      <c r="E36" s="21">
        <v>40413</v>
      </c>
      <c r="F36" s="21">
        <v>40645</v>
      </c>
      <c r="G36" s="21">
        <v>31760</v>
      </c>
      <c r="H36" s="21">
        <v>41751</v>
      </c>
      <c r="I36" s="21">
        <v>37063</v>
      </c>
      <c r="J36" s="21">
        <v>41087</v>
      </c>
      <c r="K36" s="21">
        <v>36263</v>
      </c>
      <c r="L36" s="21">
        <v>27914</v>
      </c>
      <c r="M36" s="21">
        <v>32063</v>
      </c>
      <c r="N36" s="21">
        <v>32609</v>
      </c>
      <c r="O36" s="21">
        <v>38105</v>
      </c>
      <c r="P36" s="83">
        <f t="shared" si="1"/>
        <v>443863</v>
      </c>
      <c r="Q36" s="55">
        <f>(P36-P35)/P35</f>
        <v>8.8579872224061607E-2</v>
      </c>
    </row>
    <row r="37" spans="1:17" ht="15" thickBot="1" x14ac:dyDescent="0.4">
      <c r="A37" s="184"/>
      <c r="B37" s="3">
        <v>2025</v>
      </c>
      <c r="C37" s="7" t="s">
        <v>48</v>
      </c>
      <c r="D37" s="20">
        <v>42249</v>
      </c>
      <c r="E37" s="21">
        <v>37050</v>
      </c>
      <c r="F37" s="21">
        <v>37601</v>
      </c>
      <c r="G37" s="21">
        <v>32041</v>
      </c>
      <c r="H37" s="21">
        <v>29211</v>
      </c>
      <c r="I37" s="21">
        <v>33740</v>
      </c>
      <c r="J37" s="21">
        <v>34581</v>
      </c>
      <c r="K37" s="21">
        <v>36007</v>
      </c>
      <c r="L37" s="21">
        <v>24291</v>
      </c>
      <c r="M37" s="21">
        <v>28907</v>
      </c>
      <c r="N37" s="21">
        <v>33406</v>
      </c>
      <c r="O37" s="21">
        <f>45008</f>
        <v>45008</v>
      </c>
      <c r="P37" s="83">
        <f t="shared" si="1"/>
        <v>414092</v>
      </c>
      <c r="Q37" s="56">
        <f>(P37-P36)/P36</f>
        <v>-6.7072497594978631E-2</v>
      </c>
    </row>
    <row r="38" spans="1:17" ht="15" thickBot="1" x14ac:dyDescent="0.4">
      <c r="A38" s="181" t="s">
        <v>33</v>
      </c>
      <c r="B38" s="7">
        <v>2023</v>
      </c>
      <c r="C38" s="4" t="s">
        <v>48</v>
      </c>
      <c r="D38" s="21">
        <v>6472</v>
      </c>
      <c r="E38" s="21">
        <v>8456</v>
      </c>
      <c r="F38" s="21">
        <v>10250</v>
      </c>
      <c r="G38" s="21">
        <v>13276</v>
      </c>
      <c r="H38" s="21">
        <v>13722</v>
      </c>
      <c r="I38" s="21">
        <v>13013</v>
      </c>
      <c r="J38" s="21">
        <v>12233</v>
      </c>
      <c r="K38" s="21">
        <v>11758</v>
      </c>
      <c r="L38" s="21">
        <v>10465</v>
      </c>
      <c r="M38" s="21">
        <v>11749</v>
      </c>
      <c r="N38" s="21"/>
      <c r="O38" s="21">
        <v>6707</v>
      </c>
      <c r="P38" s="83">
        <f t="shared" si="1"/>
        <v>118101</v>
      </c>
      <c r="Q38" s="53" t="s">
        <v>19</v>
      </c>
    </row>
    <row r="39" spans="1:17" ht="15" thickBot="1" x14ac:dyDescent="0.4">
      <c r="A39" s="182"/>
      <c r="B39" s="7">
        <v>2024</v>
      </c>
      <c r="C39" s="7" t="s">
        <v>48</v>
      </c>
      <c r="D39" s="21">
        <f>2990+4977+158+0+0</f>
        <v>8125</v>
      </c>
      <c r="E39" s="21">
        <f>137+1915+4655+0+0</f>
        <v>6707</v>
      </c>
      <c r="F39" s="21">
        <f>7+6389+1650+0+168</f>
        <v>8214</v>
      </c>
      <c r="G39" s="21">
        <f>0+23+5074+2068+462</f>
        <v>7627</v>
      </c>
      <c r="H39" s="21">
        <f>0+64+718+1821+11426</f>
        <v>14029</v>
      </c>
      <c r="I39" s="21">
        <f>0+66+9589+2097+808</f>
        <v>12560</v>
      </c>
      <c r="J39" s="21">
        <f>0+69+10340+2347+826</f>
        <v>13582</v>
      </c>
      <c r="K39" s="21">
        <f>43+9812+2326+0+472</f>
        <v>12653</v>
      </c>
      <c r="L39" s="21">
        <f>0+48+7858+2526+846</f>
        <v>11278</v>
      </c>
      <c r="M39" s="21">
        <f>0+22+8303+1965+452</f>
        <v>10742</v>
      </c>
      <c r="N39" s="21">
        <v>9691</v>
      </c>
      <c r="O39" s="21">
        <f>5+222+36+5933+1883</f>
        <v>8079</v>
      </c>
      <c r="P39" s="83">
        <f t="shared" si="1"/>
        <v>123287</v>
      </c>
      <c r="Q39" s="55">
        <f>(P39-P38)/P38</f>
        <v>4.3911567217889774E-2</v>
      </c>
    </row>
    <row r="40" spans="1:17" ht="15" thickBot="1" x14ac:dyDescent="0.4">
      <c r="A40" s="182"/>
      <c r="B40" s="3">
        <v>2025</v>
      </c>
      <c r="C40" s="7" t="s">
        <v>48</v>
      </c>
      <c r="D40" s="21">
        <f>1859+5355+123</f>
        <v>7337</v>
      </c>
      <c r="E40" s="21">
        <f>1207+3988+130</f>
        <v>5325</v>
      </c>
      <c r="F40" s="21">
        <f>953+6544+125</f>
        <v>7622</v>
      </c>
      <c r="G40" s="21">
        <f>8182+1328+600+182+0</f>
        <v>10292</v>
      </c>
      <c r="H40" s="21">
        <f>831+270+9620+1548</f>
        <v>12269</v>
      </c>
      <c r="I40" s="21">
        <f>957+10120+2161+1+451</f>
        <v>13690</v>
      </c>
      <c r="J40" s="21">
        <f>0+581+10033+1788+766</f>
        <v>13168</v>
      </c>
      <c r="K40" s="21">
        <f>1749+8911+0+273+510</f>
        <v>11443</v>
      </c>
      <c r="L40" s="21">
        <f>430+300+0+7589</f>
        <v>8319</v>
      </c>
      <c r="M40" s="21">
        <f>0+436+8044+572</f>
        <v>9052</v>
      </c>
      <c r="N40" s="21">
        <f>0+168+7434+318</f>
        <v>7920</v>
      </c>
      <c r="O40" s="21">
        <f>0+154+0+1353+240</f>
        <v>1747</v>
      </c>
      <c r="P40" s="83">
        <f t="shared" si="1"/>
        <v>108184</v>
      </c>
      <c r="Q40" s="56">
        <f>(P40-P39)/P39</f>
        <v>-0.12250277807068061</v>
      </c>
    </row>
    <row r="41" spans="1:17" ht="15" thickBot="1" x14ac:dyDescent="0.4">
      <c r="A41" s="183" t="s">
        <v>34</v>
      </c>
      <c r="B41" s="7">
        <v>2023</v>
      </c>
      <c r="C41" s="4" t="s">
        <v>48</v>
      </c>
      <c r="D41" s="20">
        <v>10853</v>
      </c>
      <c r="E41" s="21">
        <v>10804</v>
      </c>
      <c r="F41" s="21">
        <v>15258</v>
      </c>
      <c r="G41" s="21">
        <v>17508</v>
      </c>
      <c r="H41" s="21">
        <v>20874</v>
      </c>
      <c r="I41" s="21">
        <v>19545</v>
      </c>
      <c r="J41" s="21">
        <v>19885</v>
      </c>
      <c r="K41" s="21">
        <v>19192</v>
      </c>
      <c r="L41" s="21">
        <v>19047</v>
      </c>
      <c r="M41" s="21">
        <v>16997</v>
      </c>
      <c r="N41" s="21">
        <v>18902</v>
      </c>
      <c r="O41" s="21">
        <v>14219</v>
      </c>
      <c r="P41" s="83">
        <f t="shared" si="1"/>
        <v>203084</v>
      </c>
      <c r="Q41" s="53" t="s">
        <v>19</v>
      </c>
    </row>
    <row r="42" spans="1:17" ht="15" thickBot="1" x14ac:dyDescent="0.4">
      <c r="A42" s="184"/>
      <c r="B42" s="7">
        <v>2024</v>
      </c>
      <c r="C42" s="7" t="s">
        <v>48</v>
      </c>
      <c r="D42" s="20">
        <v>7111</v>
      </c>
      <c r="E42" s="21">
        <v>8673</v>
      </c>
      <c r="F42" s="21">
        <v>11895</v>
      </c>
      <c r="G42" s="21">
        <v>17722</v>
      </c>
      <c r="H42" s="21">
        <v>21053</v>
      </c>
      <c r="I42" s="21">
        <v>19778</v>
      </c>
      <c r="J42" s="21">
        <v>20983</v>
      </c>
      <c r="K42" s="21">
        <v>18162</v>
      </c>
      <c r="L42" s="21">
        <v>15711</v>
      </c>
      <c r="M42" s="21">
        <v>17848</v>
      </c>
      <c r="N42" s="21">
        <v>14712</v>
      </c>
      <c r="O42" s="21">
        <v>12930</v>
      </c>
      <c r="P42" s="83">
        <f t="shared" si="1"/>
        <v>186578</v>
      </c>
      <c r="Q42" s="55">
        <f>(P42-P41)/P41</f>
        <v>-8.1276713084241003E-2</v>
      </c>
    </row>
    <row r="43" spans="1:17" ht="15" thickBot="1" x14ac:dyDescent="0.4">
      <c r="A43" s="184"/>
      <c r="B43" s="3">
        <v>2025</v>
      </c>
      <c r="C43" s="7" t="s">
        <v>48</v>
      </c>
      <c r="D43" s="20">
        <f>10+3199+3011+2360</f>
        <v>8580</v>
      </c>
      <c r="E43" s="115">
        <f>1023+1800+2706+3148+13</f>
        <v>8690</v>
      </c>
      <c r="F43" s="115">
        <f>4470+4+4081</f>
        <v>8555</v>
      </c>
      <c r="G43" s="21">
        <f>3740+4462+41+1809+3740</f>
        <v>13792</v>
      </c>
      <c r="H43" s="21">
        <f>1928+6944+5363+48+5460</f>
        <v>19743</v>
      </c>
      <c r="I43" s="21">
        <f>7555+5040+5517+64</f>
        <v>18176</v>
      </c>
      <c r="J43" s="21">
        <f>6303+58+4907+5940</f>
        <v>17208</v>
      </c>
      <c r="K43" s="21">
        <f>1898+4340+4630+25+5641</f>
        <v>16534</v>
      </c>
      <c r="L43" s="21">
        <f>5068+4980+68+4372</f>
        <v>14488</v>
      </c>
      <c r="M43" s="21">
        <f>5032+4020+4576+38</f>
        <v>13666</v>
      </c>
      <c r="N43" s="21">
        <f>5103+3699+35</f>
        <v>8837</v>
      </c>
      <c r="O43" s="21">
        <f>3930+3221+30+6760+1425</f>
        <v>15366</v>
      </c>
      <c r="P43" s="83">
        <f t="shared" si="1"/>
        <v>163635</v>
      </c>
      <c r="Q43" s="56">
        <f>(P43-P42)/P42</f>
        <v>-0.12296733805700565</v>
      </c>
    </row>
    <row r="44" spans="1:17" ht="15" thickBot="1" x14ac:dyDescent="0.4">
      <c r="A44" s="181" t="s">
        <v>35</v>
      </c>
      <c r="B44" s="7">
        <v>2023</v>
      </c>
      <c r="C44" s="4" t="s">
        <v>48</v>
      </c>
      <c r="D44" s="20">
        <v>10104</v>
      </c>
      <c r="E44" s="21">
        <v>21900</v>
      </c>
      <c r="F44" s="21">
        <v>27345</v>
      </c>
      <c r="G44" s="21">
        <v>28652</v>
      </c>
      <c r="H44" s="21">
        <v>33932</v>
      </c>
      <c r="I44" s="21">
        <v>34572</v>
      </c>
      <c r="J44" s="21">
        <v>31546</v>
      </c>
      <c r="K44" s="21">
        <v>27747</v>
      </c>
      <c r="L44" s="21">
        <v>29796</v>
      </c>
      <c r="M44" s="21">
        <v>28600</v>
      </c>
      <c r="N44" s="21">
        <v>28181</v>
      </c>
      <c r="O44" s="21">
        <v>28387</v>
      </c>
      <c r="P44" s="83">
        <f t="shared" si="1"/>
        <v>330762</v>
      </c>
      <c r="Q44" s="53" t="s">
        <v>19</v>
      </c>
    </row>
    <row r="45" spans="1:17" ht="15" thickBot="1" x14ac:dyDescent="0.4">
      <c r="A45" s="182"/>
      <c r="B45" s="7">
        <v>2024</v>
      </c>
      <c r="C45" s="7" t="s">
        <v>48</v>
      </c>
      <c r="D45" s="20">
        <v>21701</v>
      </c>
      <c r="E45" s="21">
        <v>27050</v>
      </c>
      <c r="F45" s="21">
        <v>37980</v>
      </c>
      <c r="G45" s="21">
        <v>24610</v>
      </c>
      <c r="H45" s="21">
        <v>29861</v>
      </c>
      <c r="I45" s="21">
        <v>41825</v>
      </c>
      <c r="J45" s="21">
        <v>37549</v>
      </c>
      <c r="K45" s="21">
        <v>36284</v>
      </c>
      <c r="L45" s="21">
        <v>32301</v>
      </c>
      <c r="M45" s="21">
        <v>27630</v>
      </c>
      <c r="N45" s="21">
        <v>23550</v>
      </c>
      <c r="O45" s="21">
        <v>25126</v>
      </c>
      <c r="P45" s="83">
        <f t="shared" si="1"/>
        <v>365467</v>
      </c>
      <c r="Q45" s="55">
        <f>(P45-P44)/P44</f>
        <v>0.10492438671915154</v>
      </c>
    </row>
    <row r="46" spans="1:17" ht="15" thickBot="1" x14ac:dyDescent="0.4">
      <c r="A46" s="182"/>
      <c r="B46" s="3">
        <v>2025</v>
      </c>
      <c r="C46" s="7" t="s">
        <v>48</v>
      </c>
      <c r="D46" s="20">
        <f>7200+9+16200</f>
        <v>23409</v>
      </c>
      <c r="E46" s="21">
        <f>5820+88+13700</f>
        <v>19608</v>
      </c>
      <c r="F46" s="21">
        <f>13200+7843+5</f>
        <v>21048</v>
      </c>
      <c r="G46" s="21">
        <f>13500+15+16500</f>
        <v>30015</v>
      </c>
      <c r="H46" s="21">
        <f>34+10380+18200</f>
        <v>28614</v>
      </c>
      <c r="I46" s="21">
        <f>20+12420+18900</f>
        <v>31340</v>
      </c>
      <c r="J46" s="21">
        <f>29+13320+24300</f>
        <v>37649</v>
      </c>
      <c r="K46" s="21">
        <f>32+10860+19600</f>
        <v>30492</v>
      </c>
      <c r="L46" s="21">
        <f>8+9960+17900</f>
        <v>27868</v>
      </c>
      <c r="M46" s="21">
        <f>10680+13+17400</f>
        <v>28093</v>
      </c>
      <c r="N46" s="21">
        <f>9600+6+16400</f>
        <v>26006</v>
      </c>
      <c r="O46" s="21">
        <f>8100+1+15000</f>
        <v>23101</v>
      </c>
      <c r="P46" s="83">
        <f t="shared" si="1"/>
        <v>327243</v>
      </c>
      <c r="Q46" s="56">
        <f>(P46-P45)/P45</f>
        <v>-0.10458947045834507</v>
      </c>
    </row>
    <row r="47" spans="1:17" ht="15" thickBot="1" x14ac:dyDescent="0.4">
      <c r="A47" s="183" t="s">
        <v>36</v>
      </c>
      <c r="B47" s="7">
        <v>2023</v>
      </c>
      <c r="C47" s="4" t="s">
        <v>48</v>
      </c>
      <c r="D47" s="20">
        <v>9200</v>
      </c>
      <c r="E47" s="21">
        <v>7120</v>
      </c>
      <c r="F47" s="21">
        <v>7200</v>
      </c>
      <c r="G47" s="21">
        <v>9920</v>
      </c>
      <c r="H47" s="21">
        <v>11120</v>
      </c>
      <c r="I47" s="21">
        <v>9600</v>
      </c>
      <c r="J47" s="21">
        <v>11440</v>
      </c>
      <c r="K47" s="21">
        <v>10080</v>
      </c>
      <c r="L47" s="21">
        <v>10160</v>
      </c>
      <c r="M47" s="21">
        <v>10240</v>
      </c>
      <c r="N47" s="21">
        <v>10800</v>
      </c>
      <c r="O47" s="21">
        <v>9440</v>
      </c>
      <c r="P47" s="83">
        <f t="shared" si="1"/>
        <v>116320</v>
      </c>
      <c r="Q47" s="53" t="s">
        <v>19</v>
      </c>
    </row>
    <row r="48" spans="1:17" ht="15" thickBot="1" x14ac:dyDescent="0.4">
      <c r="A48" s="184"/>
      <c r="B48" s="7">
        <v>2024</v>
      </c>
      <c r="C48" s="7" t="s">
        <v>48</v>
      </c>
      <c r="D48" s="20">
        <v>8480</v>
      </c>
      <c r="E48" s="21">
        <v>7840</v>
      </c>
      <c r="F48" s="21">
        <v>8320</v>
      </c>
      <c r="G48" s="21">
        <v>10640</v>
      </c>
      <c r="H48" s="21">
        <v>12240</v>
      </c>
      <c r="I48" s="21">
        <v>12560</v>
      </c>
      <c r="J48" s="21">
        <v>12080</v>
      </c>
      <c r="K48" s="21">
        <v>13120</v>
      </c>
      <c r="L48" s="21">
        <v>11760</v>
      </c>
      <c r="M48" s="21">
        <v>10400</v>
      </c>
      <c r="N48" s="21">
        <v>11360</v>
      </c>
      <c r="O48" s="21">
        <v>10320</v>
      </c>
      <c r="P48" s="83">
        <f t="shared" si="1"/>
        <v>129120</v>
      </c>
      <c r="Q48" s="55">
        <f>(P48-P47)/P47</f>
        <v>0.11004126547455295</v>
      </c>
    </row>
    <row r="49" spans="1:17" ht="15" thickBot="1" x14ac:dyDescent="0.4">
      <c r="A49" s="184"/>
      <c r="B49" s="3">
        <v>2025</v>
      </c>
      <c r="C49" s="7" t="s">
        <v>48</v>
      </c>
      <c r="D49" s="20">
        <v>8640</v>
      </c>
      <c r="E49" s="21">
        <v>6480</v>
      </c>
      <c r="F49" s="21">
        <v>5040</v>
      </c>
      <c r="G49" s="21">
        <v>8800</v>
      </c>
      <c r="H49" s="21">
        <v>8720</v>
      </c>
      <c r="I49" s="21">
        <v>10400</v>
      </c>
      <c r="J49" s="21">
        <v>12240</v>
      </c>
      <c r="K49" s="21">
        <v>8880</v>
      </c>
      <c r="L49" s="21">
        <v>10480</v>
      </c>
      <c r="M49" s="21">
        <v>8560</v>
      </c>
      <c r="N49" s="21">
        <f>5103+3699+35</f>
        <v>8837</v>
      </c>
      <c r="O49" s="21">
        <v>8080</v>
      </c>
      <c r="P49" s="83">
        <f t="shared" si="1"/>
        <v>105157</v>
      </c>
      <c r="Q49" s="56">
        <f>(P49-P48)/P48</f>
        <v>-0.18558705080545229</v>
      </c>
    </row>
    <row r="50" spans="1:17" ht="15" thickBot="1" x14ac:dyDescent="0.4">
      <c r="A50" s="181" t="s">
        <v>37</v>
      </c>
      <c r="B50" s="7">
        <v>2023</v>
      </c>
      <c r="C50" s="4" t="s">
        <v>48</v>
      </c>
      <c r="D50" s="20">
        <v>15060</v>
      </c>
      <c r="E50" s="21">
        <v>18615</v>
      </c>
      <c r="F50" s="21">
        <v>23468</v>
      </c>
      <c r="G50" s="21">
        <v>17992</v>
      </c>
      <c r="H50" s="21">
        <v>16133</v>
      </c>
      <c r="I50" s="21">
        <v>14235</v>
      </c>
      <c r="J50" s="21">
        <v>13713</v>
      </c>
      <c r="K50" s="21">
        <v>12942</v>
      </c>
      <c r="L50" s="21">
        <v>11967</v>
      </c>
      <c r="M50" s="21">
        <v>12739</v>
      </c>
      <c r="N50" s="21">
        <v>14385</v>
      </c>
      <c r="O50" s="21">
        <v>13481</v>
      </c>
      <c r="P50" s="83">
        <f t="shared" si="1"/>
        <v>184730</v>
      </c>
      <c r="Q50" s="53" t="s">
        <v>19</v>
      </c>
    </row>
    <row r="51" spans="1:17" ht="15" thickBot="1" x14ac:dyDescent="0.4">
      <c r="A51" s="182"/>
      <c r="B51" s="7">
        <v>2024</v>
      </c>
      <c r="C51" s="7" t="s">
        <v>48</v>
      </c>
      <c r="D51" s="20">
        <v>14790</v>
      </c>
      <c r="E51" s="21">
        <v>13481</v>
      </c>
      <c r="F51" s="21">
        <v>14770</v>
      </c>
      <c r="G51" s="21">
        <v>15367</v>
      </c>
      <c r="H51" s="21">
        <v>16232</v>
      </c>
      <c r="I51" s="21">
        <v>16260</v>
      </c>
      <c r="J51" s="21">
        <v>13081</v>
      </c>
      <c r="K51" s="21">
        <v>16515</v>
      </c>
      <c r="L51" s="21">
        <v>15439</v>
      </c>
      <c r="M51" s="21">
        <v>11082</v>
      </c>
      <c r="N51" s="21">
        <v>13635</v>
      </c>
      <c r="O51" s="21">
        <v>15835</v>
      </c>
      <c r="P51" s="83">
        <f t="shared" si="1"/>
        <v>176487</v>
      </c>
      <c r="Q51" s="55">
        <f>(P51-P50)/P50</f>
        <v>-4.4621880582471712E-2</v>
      </c>
    </row>
    <row r="52" spans="1:17" ht="15" thickBot="1" x14ac:dyDescent="0.4">
      <c r="A52" s="182"/>
      <c r="B52" s="3">
        <v>2025</v>
      </c>
      <c r="C52" s="7" t="s">
        <v>48</v>
      </c>
      <c r="D52" s="117">
        <f>14758+573</f>
        <v>15331</v>
      </c>
      <c r="E52" s="115">
        <f>12762+411</f>
        <v>13173</v>
      </c>
      <c r="F52" s="115">
        <f>12726+546</f>
        <v>13272</v>
      </c>
      <c r="G52" s="21">
        <f>12006+914</f>
        <v>12920</v>
      </c>
      <c r="H52" s="21">
        <f>12046+845</f>
        <v>12891</v>
      </c>
      <c r="I52" s="21">
        <f>13718+502</f>
        <v>14220</v>
      </c>
      <c r="J52" s="21">
        <f>12716+488</f>
        <v>13204</v>
      </c>
      <c r="K52" s="21">
        <v>12547</v>
      </c>
      <c r="L52" s="21">
        <v>11069</v>
      </c>
      <c r="M52" s="21">
        <v>14240</v>
      </c>
      <c r="N52" s="21">
        <v>14579</v>
      </c>
      <c r="O52" s="21">
        <v>16281.87</v>
      </c>
      <c r="P52" s="83">
        <f t="shared" si="1"/>
        <v>163727.87</v>
      </c>
      <c r="Q52" s="56">
        <f>(P52-P51)/P51</f>
        <v>-7.2295013230436259E-2</v>
      </c>
    </row>
    <row r="53" spans="1:17" ht="15" thickBot="1" x14ac:dyDescent="0.4">
      <c r="A53" s="181" t="s">
        <v>38</v>
      </c>
      <c r="B53" s="7">
        <v>2023</v>
      </c>
      <c r="C53" s="4" t="s">
        <v>48</v>
      </c>
      <c r="D53" s="20">
        <v>16640</v>
      </c>
      <c r="E53" s="21">
        <v>12040</v>
      </c>
      <c r="F53" s="21">
        <v>11440</v>
      </c>
      <c r="G53" s="21">
        <v>13880</v>
      </c>
      <c r="H53" s="21">
        <v>14480</v>
      </c>
      <c r="I53" s="21">
        <v>15120</v>
      </c>
      <c r="J53" s="21">
        <v>15960</v>
      </c>
      <c r="K53" s="21">
        <v>14520</v>
      </c>
      <c r="L53" s="21">
        <v>12320</v>
      </c>
      <c r="M53" s="21">
        <v>12480</v>
      </c>
      <c r="N53" s="21">
        <v>12360</v>
      </c>
      <c r="O53" s="21">
        <v>13120</v>
      </c>
      <c r="P53" s="83">
        <f t="shared" si="1"/>
        <v>164360</v>
      </c>
      <c r="Q53" s="53" t="s">
        <v>19</v>
      </c>
    </row>
    <row r="54" spans="1:17" ht="15" thickBot="1" x14ac:dyDescent="0.4">
      <c r="A54" s="182"/>
      <c r="B54" s="7">
        <v>2024</v>
      </c>
      <c r="C54" s="7" t="s">
        <v>48</v>
      </c>
      <c r="D54" s="20">
        <v>13680</v>
      </c>
      <c r="E54" s="21">
        <v>12160</v>
      </c>
      <c r="F54" s="21">
        <v>10120</v>
      </c>
      <c r="G54" s="21">
        <v>12880</v>
      </c>
      <c r="H54" s="21">
        <v>13080</v>
      </c>
      <c r="I54" s="21">
        <v>18200</v>
      </c>
      <c r="J54" s="21">
        <v>17080</v>
      </c>
      <c r="K54" s="21">
        <v>11080</v>
      </c>
      <c r="L54" s="21">
        <v>16320</v>
      </c>
      <c r="M54" s="21">
        <v>13920</v>
      </c>
      <c r="N54" s="21">
        <v>10360</v>
      </c>
      <c r="O54" s="21">
        <v>14640</v>
      </c>
      <c r="P54" s="83">
        <f t="shared" si="1"/>
        <v>163520</v>
      </c>
      <c r="Q54" s="55">
        <f>(P54-P53)/P53</f>
        <v>-5.1107325383304937E-3</v>
      </c>
    </row>
    <row r="55" spans="1:17" ht="15" thickBot="1" x14ac:dyDescent="0.4">
      <c r="A55" s="182"/>
      <c r="B55" s="3">
        <v>2025</v>
      </c>
      <c r="C55" s="7" t="s">
        <v>48</v>
      </c>
      <c r="D55" s="20">
        <v>15760</v>
      </c>
      <c r="E55" s="21">
        <v>13280</v>
      </c>
      <c r="F55" s="21">
        <v>10520</v>
      </c>
      <c r="G55" s="21">
        <v>14360</v>
      </c>
      <c r="H55" s="21">
        <v>12200</v>
      </c>
      <c r="I55" s="21">
        <v>13280</v>
      </c>
      <c r="J55" s="21">
        <v>15960</v>
      </c>
      <c r="K55" s="21">
        <v>13920</v>
      </c>
      <c r="L55" s="21">
        <v>13960</v>
      </c>
      <c r="M55" s="21">
        <v>12720</v>
      </c>
      <c r="N55" s="21">
        <v>12560</v>
      </c>
      <c r="O55" s="21">
        <v>14800</v>
      </c>
      <c r="P55" s="83">
        <f t="shared" si="1"/>
        <v>163320</v>
      </c>
      <c r="Q55" s="56">
        <f>(P55-P54)/P54</f>
        <v>-1.223091976516634E-3</v>
      </c>
    </row>
    <row r="56" spans="1:17" ht="15" thickBot="1" x14ac:dyDescent="0.4">
      <c r="A56" s="181" t="s">
        <v>39</v>
      </c>
      <c r="B56" s="7">
        <v>2023</v>
      </c>
      <c r="C56" s="4" t="s">
        <v>48</v>
      </c>
      <c r="D56" s="20">
        <v>12400</v>
      </c>
      <c r="E56" s="21">
        <v>10400</v>
      </c>
      <c r="F56" s="21">
        <v>13900</v>
      </c>
      <c r="G56" s="21">
        <v>14100</v>
      </c>
      <c r="H56" s="21">
        <v>18700</v>
      </c>
      <c r="I56" s="21">
        <v>18600</v>
      </c>
      <c r="J56" s="21">
        <v>16700</v>
      </c>
      <c r="K56" s="21">
        <v>15000</v>
      </c>
      <c r="L56" s="21">
        <v>14700</v>
      </c>
      <c r="M56" s="21">
        <v>13800</v>
      </c>
      <c r="N56" s="21">
        <v>14200</v>
      </c>
      <c r="O56" s="21">
        <v>11200</v>
      </c>
      <c r="P56" s="83">
        <f t="shared" si="1"/>
        <v>173700</v>
      </c>
      <c r="Q56" s="53" t="s">
        <v>19</v>
      </c>
    </row>
    <row r="57" spans="1:17" ht="15" thickBot="1" x14ac:dyDescent="0.4">
      <c r="A57" s="182"/>
      <c r="B57" s="7">
        <v>2024</v>
      </c>
      <c r="C57" s="7" t="s">
        <v>48</v>
      </c>
      <c r="D57" s="20">
        <v>12100</v>
      </c>
      <c r="E57" s="21">
        <v>10300</v>
      </c>
      <c r="F57" s="21">
        <v>12200</v>
      </c>
      <c r="G57" s="21">
        <v>16800</v>
      </c>
      <c r="H57" s="21">
        <v>19900</v>
      </c>
      <c r="I57" s="21">
        <v>18200</v>
      </c>
      <c r="J57" s="21">
        <v>21000</v>
      </c>
      <c r="K57" s="21">
        <v>19000</v>
      </c>
      <c r="L57" s="21">
        <v>14900</v>
      </c>
      <c r="M57" s="21">
        <v>15000</v>
      </c>
      <c r="N57" s="21">
        <v>13600</v>
      </c>
      <c r="O57" s="21">
        <v>14000</v>
      </c>
      <c r="P57" s="83">
        <f t="shared" si="1"/>
        <v>187000</v>
      </c>
      <c r="Q57" s="55">
        <f>(P57-P56)/P56</f>
        <v>7.6568796776050663E-2</v>
      </c>
    </row>
    <row r="58" spans="1:17" ht="15" thickBot="1" x14ac:dyDescent="0.4">
      <c r="A58" s="182"/>
      <c r="B58" s="3">
        <v>2025</v>
      </c>
      <c r="C58" s="7" t="s">
        <v>48</v>
      </c>
      <c r="D58" s="20">
        <v>12000</v>
      </c>
      <c r="E58" s="21">
        <v>9900</v>
      </c>
      <c r="F58" s="21">
        <v>12700</v>
      </c>
      <c r="G58" s="21">
        <v>15500</v>
      </c>
      <c r="H58" s="21">
        <v>18800</v>
      </c>
      <c r="I58" s="21">
        <v>21000</v>
      </c>
      <c r="J58" s="21">
        <v>18000</v>
      </c>
      <c r="K58" s="21">
        <v>16500</v>
      </c>
      <c r="L58" s="21">
        <v>15300</v>
      </c>
      <c r="M58" s="21">
        <v>14500</v>
      </c>
      <c r="N58" s="21">
        <v>13700</v>
      </c>
      <c r="O58" s="21">
        <v>14000</v>
      </c>
      <c r="P58" s="83">
        <f t="shared" si="1"/>
        <v>181900</v>
      </c>
      <c r="Q58" s="56">
        <f>(P58-P57)/P57</f>
        <v>-2.7272727272727271E-2</v>
      </c>
    </row>
    <row r="59" spans="1:17" ht="15" thickBot="1" x14ac:dyDescent="0.4">
      <c r="A59" s="181" t="s">
        <v>40</v>
      </c>
      <c r="B59" s="7">
        <v>2023</v>
      </c>
      <c r="C59" s="4" t="s">
        <v>48</v>
      </c>
      <c r="D59" s="20">
        <v>39018</v>
      </c>
      <c r="E59" s="21">
        <v>35304</v>
      </c>
      <c r="F59" s="21">
        <v>48400</v>
      </c>
      <c r="G59" s="21">
        <v>43317</v>
      </c>
      <c r="H59" s="21">
        <v>43411</v>
      </c>
      <c r="I59" s="21">
        <v>39966</v>
      </c>
      <c r="J59" s="21">
        <v>42410</v>
      </c>
      <c r="K59" s="21">
        <v>35728</v>
      </c>
      <c r="L59" s="21">
        <v>41389</v>
      </c>
      <c r="M59" s="21">
        <v>42680</v>
      </c>
      <c r="N59" s="21">
        <v>47160</v>
      </c>
      <c r="O59" s="21">
        <v>45511</v>
      </c>
      <c r="P59" s="83">
        <f t="shared" si="1"/>
        <v>504294</v>
      </c>
      <c r="Q59" s="53" t="s">
        <v>19</v>
      </c>
    </row>
    <row r="60" spans="1:17" ht="15" thickBot="1" x14ac:dyDescent="0.4">
      <c r="A60" s="182"/>
      <c r="B60" s="7">
        <v>2024</v>
      </c>
      <c r="C60" s="7" t="s">
        <v>48</v>
      </c>
      <c r="D60" s="20">
        <v>30584</v>
      </c>
      <c r="E60" s="21">
        <v>33373</v>
      </c>
      <c r="F60" s="21">
        <v>44662</v>
      </c>
      <c r="G60" s="21">
        <v>47016</v>
      </c>
      <c r="H60" s="21">
        <v>44650</v>
      </c>
      <c r="I60" s="21">
        <v>42021</v>
      </c>
      <c r="J60" s="21">
        <v>39161</v>
      </c>
      <c r="K60" s="21">
        <v>32660</v>
      </c>
      <c r="L60" s="21">
        <v>39161</v>
      </c>
      <c r="M60" s="21">
        <v>38875</v>
      </c>
      <c r="N60" s="21">
        <v>38141</v>
      </c>
      <c r="O60" s="21">
        <v>35989</v>
      </c>
      <c r="P60" s="83">
        <f t="shared" si="1"/>
        <v>466293</v>
      </c>
      <c r="Q60" s="55">
        <f>(P60-P59)/P59</f>
        <v>-7.5354852526502397E-2</v>
      </c>
    </row>
    <row r="61" spans="1:17" ht="15" thickBot="1" x14ac:dyDescent="0.4">
      <c r="A61" s="182"/>
      <c r="B61" s="3">
        <v>2025</v>
      </c>
      <c r="C61" s="7" t="s">
        <v>48</v>
      </c>
      <c r="D61" s="20">
        <v>35884</v>
      </c>
      <c r="E61" s="21">
        <v>30489</v>
      </c>
      <c r="F61" s="115">
        <v>36909</v>
      </c>
      <c r="G61" s="21">
        <v>36191</v>
      </c>
      <c r="H61" s="21">
        <v>38356</v>
      </c>
      <c r="I61" s="21">
        <v>40074</v>
      </c>
      <c r="J61" s="21">
        <v>36203</v>
      </c>
      <c r="K61" s="21">
        <v>35809</v>
      </c>
      <c r="L61" s="21">
        <v>32736</v>
      </c>
      <c r="M61" s="21">
        <v>40547</v>
      </c>
      <c r="N61" s="21">
        <v>38656</v>
      </c>
      <c r="O61" s="21">
        <v>37845</v>
      </c>
      <c r="P61" s="83">
        <f t="shared" si="1"/>
        <v>439699</v>
      </c>
      <c r="Q61" s="56">
        <f>(P61-P60)/P60</f>
        <v>-5.7032809842738362E-2</v>
      </c>
    </row>
    <row r="62" spans="1:17" ht="15" thickBot="1" x14ac:dyDescent="0.4">
      <c r="A62" s="181" t="s">
        <v>41</v>
      </c>
      <c r="B62" s="7">
        <v>2023</v>
      </c>
      <c r="C62" s="4" t="s">
        <v>48</v>
      </c>
      <c r="D62" s="20">
        <v>15480</v>
      </c>
      <c r="E62" s="20">
        <v>15600</v>
      </c>
      <c r="F62" s="21">
        <v>22320</v>
      </c>
      <c r="G62" s="21">
        <v>16320</v>
      </c>
      <c r="H62" s="21">
        <v>18600</v>
      </c>
      <c r="I62" s="21">
        <v>19320</v>
      </c>
      <c r="J62" s="21">
        <v>15600</v>
      </c>
      <c r="K62" s="21">
        <v>18120</v>
      </c>
      <c r="L62" s="21">
        <v>14880</v>
      </c>
      <c r="M62" s="21">
        <v>15600</v>
      </c>
      <c r="N62" s="21">
        <v>16920</v>
      </c>
      <c r="O62" s="21">
        <v>15480</v>
      </c>
      <c r="P62" s="83">
        <f t="shared" si="1"/>
        <v>204240</v>
      </c>
      <c r="Q62" s="53" t="s">
        <v>19</v>
      </c>
    </row>
    <row r="63" spans="1:17" ht="15" thickBot="1" x14ac:dyDescent="0.4">
      <c r="A63" s="182"/>
      <c r="B63" s="7">
        <v>2024</v>
      </c>
      <c r="C63" s="7" t="s">
        <v>48</v>
      </c>
      <c r="D63" s="20">
        <v>18240</v>
      </c>
      <c r="E63" s="21">
        <v>15480</v>
      </c>
      <c r="F63" s="21">
        <v>17280</v>
      </c>
      <c r="G63" s="21">
        <v>17160</v>
      </c>
      <c r="H63" s="21">
        <v>22200</v>
      </c>
      <c r="I63" s="21">
        <v>21360</v>
      </c>
      <c r="J63" s="21">
        <v>22000</v>
      </c>
      <c r="K63" s="21">
        <v>19080</v>
      </c>
      <c r="L63" s="21">
        <v>19560</v>
      </c>
      <c r="M63" s="21">
        <v>39120</v>
      </c>
      <c r="N63" s="21">
        <v>49920</v>
      </c>
      <c r="O63" s="21">
        <v>17040</v>
      </c>
      <c r="P63" s="83">
        <f t="shared" si="1"/>
        <v>278440</v>
      </c>
      <c r="Q63" s="55">
        <f>(P63-P62)/P62</f>
        <v>0.36329808068938502</v>
      </c>
    </row>
    <row r="64" spans="1:17" ht="15" thickBot="1" x14ac:dyDescent="0.4">
      <c r="A64" s="182"/>
      <c r="B64" s="3">
        <v>2025</v>
      </c>
      <c r="C64" s="7" t="s">
        <v>48</v>
      </c>
      <c r="D64" s="20">
        <v>17040</v>
      </c>
      <c r="E64" s="21">
        <v>17160</v>
      </c>
      <c r="F64" s="21">
        <v>15960</v>
      </c>
      <c r="G64" s="21">
        <v>17040</v>
      </c>
      <c r="H64" s="21">
        <v>19200</v>
      </c>
      <c r="I64" s="21">
        <v>19440</v>
      </c>
      <c r="J64" s="21">
        <v>17280</v>
      </c>
      <c r="K64" s="21">
        <f>38640-J64</f>
        <v>21360</v>
      </c>
      <c r="L64" s="21">
        <v>18120</v>
      </c>
      <c r="M64" s="21">
        <f>30000-L64</f>
        <v>11880</v>
      </c>
      <c r="N64" s="21">
        <v>15240</v>
      </c>
      <c r="O64" s="21">
        <v>15600</v>
      </c>
      <c r="P64" s="83">
        <f t="shared" si="1"/>
        <v>205320</v>
      </c>
      <c r="Q64" s="56">
        <f>(P64-P63)/P63</f>
        <v>-0.26260594742134752</v>
      </c>
    </row>
    <row r="65" spans="1:17" ht="15" thickBot="1" x14ac:dyDescent="0.4">
      <c r="A65" s="181" t="s">
        <v>42</v>
      </c>
      <c r="B65" s="7">
        <v>2023</v>
      </c>
      <c r="C65" s="4" t="s">
        <v>48</v>
      </c>
      <c r="D65" s="20">
        <v>7961</v>
      </c>
      <c r="E65" s="21">
        <v>10748</v>
      </c>
      <c r="F65" s="21">
        <v>12756</v>
      </c>
      <c r="G65" s="21">
        <v>14917</v>
      </c>
      <c r="H65" s="21">
        <v>18722</v>
      </c>
      <c r="I65" s="21">
        <v>17464</v>
      </c>
      <c r="J65" s="21">
        <v>16157</v>
      </c>
      <c r="K65" s="21">
        <v>15611</v>
      </c>
      <c r="L65" s="21">
        <v>13515</v>
      </c>
      <c r="M65" s="21">
        <v>12464</v>
      </c>
      <c r="N65" s="21">
        <v>11764</v>
      </c>
      <c r="O65" s="21">
        <v>10943</v>
      </c>
      <c r="P65" s="83">
        <f t="shared" si="1"/>
        <v>163022</v>
      </c>
      <c r="Q65" s="53" t="s">
        <v>19</v>
      </c>
    </row>
    <row r="66" spans="1:17" ht="15" thickBot="1" x14ac:dyDescent="0.4">
      <c r="A66" s="182"/>
      <c r="B66" s="7">
        <v>2024</v>
      </c>
      <c r="C66" s="7" t="s">
        <v>48</v>
      </c>
      <c r="D66" s="20">
        <v>9300</v>
      </c>
      <c r="E66" s="21">
        <v>12418</v>
      </c>
      <c r="F66" s="21">
        <v>13450</v>
      </c>
      <c r="G66" s="21">
        <v>14707</v>
      </c>
      <c r="H66" s="21">
        <v>20320</v>
      </c>
      <c r="I66" s="21">
        <v>21141</v>
      </c>
      <c r="J66" s="21">
        <v>17378</v>
      </c>
      <c r="K66" s="21">
        <v>16203</v>
      </c>
      <c r="L66" s="21">
        <v>12758</v>
      </c>
      <c r="M66" s="21">
        <v>12848</v>
      </c>
      <c r="N66" s="21">
        <v>12123</v>
      </c>
      <c r="O66" s="21">
        <v>11631</v>
      </c>
      <c r="P66" s="83">
        <f t="shared" si="1"/>
        <v>174277</v>
      </c>
      <c r="Q66" s="55">
        <f>(P66-P65)/P65</f>
        <v>6.9039761504582201E-2</v>
      </c>
    </row>
    <row r="67" spans="1:17" ht="15" thickBot="1" x14ac:dyDescent="0.4">
      <c r="A67" s="182"/>
      <c r="B67" s="3">
        <v>2025</v>
      </c>
      <c r="C67" s="7" t="s">
        <v>48</v>
      </c>
      <c r="D67" s="20">
        <f>9700+1944</f>
        <v>11644</v>
      </c>
      <c r="E67" s="21">
        <f>1437+8600</f>
        <v>10037</v>
      </c>
      <c r="F67" s="21">
        <f>7600+1268</f>
        <v>8868</v>
      </c>
      <c r="G67" s="21">
        <f>1309+12800</f>
        <v>14109</v>
      </c>
      <c r="H67" s="21">
        <f>14100+1282</f>
        <v>15382</v>
      </c>
      <c r="I67" s="21">
        <f>14500+1606</f>
        <v>16106</v>
      </c>
      <c r="J67" s="21">
        <f>19600</f>
        <v>19600</v>
      </c>
      <c r="K67" s="21">
        <f>13000+1473</f>
        <v>14473</v>
      </c>
      <c r="L67" s="21">
        <f>11700+856</f>
        <v>12556</v>
      </c>
      <c r="M67" s="21">
        <f>10800+1370</f>
        <v>12170</v>
      </c>
      <c r="N67" s="21">
        <f>1022+11200</f>
        <v>12222</v>
      </c>
      <c r="O67" s="21">
        <f>11200+1050</f>
        <v>12250</v>
      </c>
      <c r="P67" s="83">
        <f t="shared" ref="P67:P76" si="2">SUM(D67:O67)</f>
        <v>159417</v>
      </c>
      <c r="Q67" s="56">
        <f>(P67-P66)/P66</f>
        <v>-8.5266558409887713E-2</v>
      </c>
    </row>
    <row r="68" spans="1:17" ht="15" thickBot="1" x14ac:dyDescent="0.4">
      <c r="A68" s="181" t="s">
        <v>43</v>
      </c>
      <c r="B68" s="7">
        <v>2023</v>
      </c>
      <c r="C68" s="4" t="s">
        <v>48</v>
      </c>
      <c r="D68" s="20">
        <v>13800</v>
      </c>
      <c r="E68" s="21">
        <v>10080</v>
      </c>
      <c r="F68" s="21">
        <v>15240</v>
      </c>
      <c r="G68" s="21">
        <v>19680</v>
      </c>
      <c r="H68" s="21">
        <v>26520</v>
      </c>
      <c r="I68" s="21">
        <v>26520</v>
      </c>
      <c r="J68" s="21">
        <v>26520</v>
      </c>
      <c r="K68" s="21">
        <v>26040</v>
      </c>
      <c r="L68" s="21">
        <v>23760</v>
      </c>
      <c r="M68" s="21">
        <v>23520</v>
      </c>
      <c r="N68" s="21">
        <v>24240</v>
      </c>
      <c r="O68" s="21">
        <v>17280</v>
      </c>
      <c r="P68" s="83">
        <f t="shared" si="2"/>
        <v>253200</v>
      </c>
      <c r="Q68" s="53" t="s">
        <v>19</v>
      </c>
    </row>
    <row r="69" spans="1:17" ht="15" thickBot="1" x14ac:dyDescent="0.4">
      <c r="A69" s="182"/>
      <c r="B69" s="7">
        <v>2024</v>
      </c>
      <c r="C69" s="7" t="s">
        <v>48</v>
      </c>
      <c r="D69" s="20">
        <v>18960</v>
      </c>
      <c r="E69" s="21">
        <v>15360</v>
      </c>
      <c r="F69" s="21">
        <v>16800</v>
      </c>
      <c r="G69" s="21">
        <v>24600</v>
      </c>
      <c r="H69" s="21">
        <v>27360</v>
      </c>
      <c r="I69" s="21">
        <v>24720</v>
      </c>
      <c r="J69" s="21">
        <v>28800</v>
      </c>
      <c r="K69" s="21">
        <v>24840</v>
      </c>
      <c r="L69" s="115">
        <f>21720+4140</f>
        <v>25860</v>
      </c>
      <c r="M69" s="115">
        <f>20640+4770</f>
        <v>25410</v>
      </c>
      <c r="N69" s="115">
        <f>17760+2580</f>
        <v>20340</v>
      </c>
      <c r="O69" s="115">
        <f>16560+2070</f>
        <v>18630</v>
      </c>
      <c r="P69" s="83">
        <f t="shared" si="2"/>
        <v>271680</v>
      </c>
      <c r="Q69" s="55">
        <f>(P69-P68)/P68</f>
        <v>7.2985781990521331E-2</v>
      </c>
    </row>
    <row r="70" spans="1:17" ht="15" thickBot="1" x14ac:dyDescent="0.4">
      <c r="A70" s="182"/>
      <c r="B70" s="3">
        <v>2025</v>
      </c>
      <c r="C70" s="7" t="s">
        <v>48</v>
      </c>
      <c r="D70" s="20">
        <f>11640+2400</f>
        <v>14040</v>
      </c>
      <c r="E70" s="21">
        <f>11400+2730</f>
        <v>14130</v>
      </c>
      <c r="F70" s="21">
        <f>13200+2040</f>
        <v>15240</v>
      </c>
      <c r="G70" s="21">
        <v>19200</v>
      </c>
      <c r="H70" s="21">
        <f>3180+22440</f>
        <v>25620</v>
      </c>
      <c r="I70" s="21">
        <f>25800+5340</f>
        <v>31140</v>
      </c>
      <c r="J70" s="21">
        <f>25800+6210</f>
        <v>32010</v>
      </c>
      <c r="K70" s="21">
        <f>5550+23280</f>
        <v>28830</v>
      </c>
      <c r="L70" s="21">
        <f>21840+4200</f>
        <v>26040</v>
      </c>
      <c r="M70" s="21">
        <f>19200+3390</f>
        <v>22590</v>
      </c>
      <c r="N70" s="21">
        <f>18360+2100</f>
        <v>20460</v>
      </c>
      <c r="O70" s="21">
        <f>18360+1350</f>
        <v>19710</v>
      </c>
      <c r="P70" s="83">
        <f t="shared" si="2"/>
        <v>269010</v>
      </c>
      <c r="Q70" s="56">
        <f>(P70-P69)/P69</f>
        <v>-9.8277385159010605E-3</v>
      </c>
    </row>
    <row r="71" spans="1:17" ht="15" thickBot="1" x14ac:dyDescent="0.4">
      <c r="A71" s="181" t="s">
        <v>44</v>
      </c>
      <c r="B71" s="3">
        <v>2023</v>
      </c>
      <c r="C71" s="4" t="s">
        <v>48</v>
      </c>
      <c r="D71" s="20">
        <v>14600</v>
      </c>
      <c r="E71" s="21">
        <v>10400</v>
      </c>
      <c r="F71" s="21">
        <v>9500</v>
      </c>
      <c r="G71" s="21">
        <v>10600</v>
      </c>
      <c r="H71" s="21">
        <v>16300</v>
      </c>
      <c r="I71" s="21">
        <v>13200</v>
      </c>
      <c r="J71" s="21">
        <v>13200</v>
      </c>
      <c r="K71" s="21">
        <v>12500</v>
      </c>
      <c r="L71" s="21">
        <v>10400</v>
      </c>
      <c r="M71" s="21">
        <v>12900</v>
      </c>
      <c r="N71" s="21">
        <v>12800</v>
      </c>
      <c r="O71" s="21">
        <v>13100</v>
      </c>
      <c r="P71" s="83">
        <f t="shared" si="2"/>
        <v>149500</v>
      </c>
      <c r="Q71" s="53" t="s">
        <v>19</v>
      </c>
    </row>
    <row r="72" spans="1:17" ht="15" thickBot="1" x14ac:dyDescent="0.4">
      <c r="A72" s="182"/>
      <c r="B72" s="3">
        <v>2024</v>
      </c>
      <c r="C72" s="7" t="s">
        <v>48</v>
      </c>
      <c r="D72" s="20">
        <v>13400</v>
      </c>
      <c r="E72" s="21">
        <v>11800</v>
      </c>
      <c r="F72" s="21">
        <v>9000</v>
      </c>
      <c r="G72" s="21">
        <v>11100</v>
      </c>
      <c r="H72" s="21">
        <v>16300</v>
      </c>
      <c r="I72" s="21">
        <v>13500</v>
      </c>
      <c r="J72" s="21">
        <v>12600</v>
      </c>
      <c r="K72" s="21">
        <v>10800</v>
      </c>
      <c r="L72" s="21">
        <v>10000</v>
      </c>
      <c r="M72" s="21">
        <v>11500</v>
      </c>
      <c r="N72" s="21">
        <v>12100</v>
      </c>
      <c r="O72" s="21">
        <v>13400</v>
      </c>
      <c r="P72" s="83">
        <f t="shared" si="2"/>
        <v>145500</v>
      </c>
      <c r="Q72" s="55">
        <f>(P72-P71)/P71</f>
        <v>-2.6755852842809364E-2</v>
      </c>
    </row>
    <row r="73" spans="1:17" ht="15" thickBot="1" x14ac:dyDescent="0.4">
      <c r="A73" s="182"/>
      <c r="B73" s="3">
        <v>2025</v>
      </c>
      <c r="C73" s="7" t="s">
        <v>48</v>
      </c>
      <c r="D73" s="20">
        <v>14000</v>
      </c>
      <c r="E73" s="21">
        <v>11200</v>
      </c>
      <c r="F73" s="21">
        <v>10700</v>
      </c>
      <c r="G73" s="21">
        <v>12200</v>
      </c>
      <c r="H73" s="21">
        <v>13000</v>
      </c>
      <c r="I73" s="21">
        <v>12300</v>
      </c>
      <c r="J73" s="21">
        <v>11100</v>
      </c>
      <c r="K73" s="21">
        <v>11700</v>
      </c>
      <c r="L73" s="21">
        <v>12000</v>
      </c>
      <c r="M73" s="21">
        <v>12100</v>
      </c>
      <c r="N73" s="21">
        <v>12000</v>
      </c>
      <c r="O73" s="21">
        <v>13500</v>
      </c>
      <c r="P73" s="83">
        <f t="shared" si="2"/>
        <v>145800</v>
      </c>
      <c r="Q73" s="56">
        <f>(P73-P72)/P72</f>
        <v>2.0618556701030928E-3</v>
      </c>
    </row>
    <row r="74" spans="1:17" ht="15" thickBot="1" x14ac:dyDescent="0.4">
      <c r="A74" s="179" t="s">
        <v>45</v>
      </c>
      <c r="B74" s="6">
        <v>2023</v>
      </c>
      <c r="C74" s="37" t="s">
        <v>48</v>
      </c>
      <c r="D74" s="20">
        <v>14480</v>
      </c>
      <c r="E74" s="21">
        <v>10800</v>
      </c>
      <c r="F74" s="21">
        <v>9680</v>
      </c>
      <c r="G74" s="21">
        <v>14720</v>
      </c>
      <c r="H74" s="21">
        <v>17760</v>
      </c>
      <c r="I74" s="21">
        <v>21280</v>
      </c>
      <c r="J74" s="21">
        <v>20160</v>
      </c>
      <c r="K74" s="21">
        <v>19840</v>
      </c>
      <c r="L74" s="21">
        <v>18800</v>
      </c>
      <c r="M74" s="21">
        <v>17280</v>
      </c>
      <c r="N74" s="21">
        <v>19040</v>
      </c>
      <c r="O74" s="21">
        <v>19440</v>
      </c>
      <c r="P74" s="83">
        <f t="shared" si="2"/>
        <v>203280</v>
      </c>
      <c r="Q74" s="53" t="s">
        <v>19</v>
      </c>
    </row>
    <row r="75" spans="1:17" ht="15" thickBot="1" x14ac:dyDescent="0.4">
      <c r="A75" s="180"/>
      <c r="B75" s="6">
        <v>2024</v>
      </c>
      <c r="C75" s="3" t="s">
        <v>48</v>
      </c>
      <c r="D75" s="20">
        <v>13120</v>
      </c>
      <c r="E75" s="21">
        <v>12880</v>
      </c>
      <c r="F75" s="21">
        <v>10720</v>
      </c>
      <c r="G75" s="21">
        <v>15200</v>
      </c>
      <c r="H75" s="21">
        <v>20720</v>
      </c>
      <c r="I75" s="21">
        <v>21280</v>
      </c>
      <c r="J75" s="21">
        <v>18000</v>
      </c>
      <c r="K75" s="21">
        <v>20160</v>
      </c>
      <c r="L75" s="21">
        <v>18320</v>
      </c>
      <c r="M75" s="21">
        <v>14640</v>
      </c>
      <c r="N75" s="21">
        <v>18720</v>
      </c>
      <c r="O75" s="21">
        <v>18960</v>
      </c>
      <c r="P75" s="83">
        <f t="shared" si="2"/>
        <v>202720</v>
      </c>
      <c r="Q75" s="55">
        <f>(P75-P74)/P74</f>
        <v>-2.7548209366391185E-3</v>
      </c>
    </row>
    <row r="76" spans="1:17" x14ac:dyDescent="0.35">
      <c r="A76" s="180"/>
      <c r="B76" s="3">
        <v>2025</v>
      </c>
      <c r="C76" s="5" t="s">
        <v>48</v>
      </c>
      <c r="D76" s="38">
        <v>13520</v>
      </c>
      <c r="E76" s="21">
        <v>11680</v>
      </c>
      <c r="F76" s="21">
        <v>9440</v>
      </c>
      <c r="G76" s="21">
        <v>15760</v>
      </c>
      <c r="H76" s="21">
        <v>19360</v>
      </c>
      <c r="I76" s="21">
        <v>20880</v>
      </c>
      <c r="J76" s="21">
        <v>21680</v>
      </c>
      <c r="K76" s="21">
        <v>18000</v>
      </c>
      <c r="L76" s="21">
        <v>17440</v>
      </c>
      <c r="M76" s="21">
        <v>17440</v>
      </c>
      <c r="N76" s="21">
        <v>18160</v>
      </c>
      <c r="O76" s="21">
        <v>16960</v>
      </c>
      <c r="P76" s="83">
        <f t="shared" si="2"/>
        <v>200320</v>
      </c>
      <c r="Q76" s="56">
        <f>(P76-P75)/P75</f>
        <v>-1.1838989739542225E-2</v>
      </c>
    </row>
    <row r="86" spans="16:16" x14ac:dyDescent="0.35">
      <c r="P86" s="1"/>
    </row>
  </sheetData>
  <mergeCells count="25">
    <mergeCell ref="A17:A19"/>
    <mergeCell ref="A2:A4"/>
    <mergeCell ref="A5:A7"/>
    <mergeCell ref="A8:A10"/>
    <mergeCell ref="A11:A13"/>
    <mergeCell ref="A14:A16"/>
    <mergeCell ref="A53:A55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74:A76"/>
    <mergeCell ref="A56:A58"/>
    <mergeCell ref="A59:A61"/>
    <mergeCell ref="A62:A64"/>
    <mergeCell ref="A65:A67"/>
    <mergeCell ref="A68:A70"/>
    <mergeCell ref="A71:A7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40092-4822-441C-B813-CFAAC2DAF00B}">
  <dimension ref="A1:Q29"/>
  <sheetViews>
    <sheetView tabSelected="1" zoomScale="86" zoomScaleNormal="86" workbookViewId="0">
      <pane xSplit="2" ySplit="1" topLeftCell="J2" activePane="bottomRight" state="frozen"/>
      <selection pane="topRight"/>
      <selection pane="bottomLeft"/>
      <selection pane="bottomRight" activeCell="B17" sqref="B17"/>
    </sheetView>
  </sheetViews>
  <sheetFormatPr baseColWidth="10" defaultColWidth="8.81640625" defaultRowHeight="14.5" x14ac:dyDescent="0.35"/>
  <cols>
    <col min="1" max="1" width="19" customWidth="1"/>
    <col min="2" max="2" width="9.453125" customWidth="1"/>
    <col min="3" max="3" width="18.26953125" customWidth="1"/>
    <col min="4" max="7" width="14.81640625" customWidth="1"/>
    <col min="8" max="8" width="13.7265625" customWidth="1"/>
    <col min="9" max="16" width="14.81640625" customWidth="1"/>
    <col min="17" max="17" width="13.54296875" customWidth="1"/>
    <col min="18" max="18" width="13.7265625" customWidth="1"/>
    <col min="19" max="19" width="15.7265625" bestFit="1" customWidth="1"/>
  </cols>
  <sheetData>
    <row r="1" spans="1:17" s="2" customFormat="1" ht="30.75" customHeight="1" x14ac:dyDescent="0.35">
      <c r="A1" s="72" t="s">
        <v>0</v>
      </c>
      <c r="B1" s="73" t="s">
        <v>1</v>
      </c>
      <c r="C1" s="73" t="s">
        <v>2</v>
      </c>
      <c r="D1" s="72" t="s">
        <v>3</v>
      </c>
      <c r="E1" s="74" t="s">
        <v>4</v>
      </c>
      <c r="F1" s="72" t="s">
        <v>5</v>
      </c>
      <c r="G1" s="75" t="s">
        <v>6</v>
      </c>
      <c r="H1" s="74" t="s">
        <v>7</v>
      </c>
      <c r="I1" s="72" t="s">
        <v>8</v>
      </c>
      <c r="J1" s="75" t="s">
        <v>9</v>
      </c>
      <c r="K1" s="74" t="s">
        <v>10</v>
      </c>
      <c r="L1" s="73" t="s">
        <v>11</v>
      </c>
      <c r="M1" s="72" t="s">
        <v>12</v>
      </c>
      <c r="N1" s="75" t="s">
        <v>13</v>
      </c>
      <c r="O1" s="75" t="s">
        <v>14</v>
      </c>
      <c r="P1" s="72" t="s">
        <v>15</v>
      </c>
      <c r="Q1" s="76" t="s">
        <v>16</v>
      </c>
    </row>
    <row r="2" spans="1:17" x14ac:dyDescent="0.35">
      <c r="A2" s="166" t="s">
        <v>23</v>
      </c>
      <c r="B2" s="7">
        <v>2023</v>
      </c>
      <c r="C2" s="4" t="s">
        <v>18</v>
      </c>
      <c r="D2" s="155">
        <v>160</v>
      </c>
      <c r="E2" s="156">
        <v>81</v>
      </c>
      <c r="F2" s="156">
        <f>0.231+34</f>
        <v>34.231000000000002</v>
      </c>
      <c r="G2" s="156">
        <f>0.229+91</f>
        <v>91.228999999999999</v>
      </c>
      <c r="H2" s="156">
        <f>0.357+241+653</f>
        <v>894.35699999999997</v>
      </c>
      <c r="I2" s="156">
        <f>0.205+0</f>
        <v>0.20499999999999999</v>
      </c>
      <c r="J2" s="156">
        <f>0.285+91+88+94</f>
        <v>273.28499999999997</v>
      </c>
      <c r="K2" s="156">
        <f>0.243+972</f>
        <v>972.24300000000005</v>
      </c>
      <c r="L2" s="156">
        <f>0.254+0</f>
        <v>0.254</v>
      </c>
      <c r="M2" s="156">
        <f>0.294+281+242</f>
        <v>523.29399999999998</v>
      </c>
      <c r="N2" s="156">
        <f>0.274+0.31+830</f>
        <v>830.58399999999995</v>
      </c>
      <c r="O2" s="156">
        <v>102</v>
      </c>
      <c r="P2" s="157">
        <f t="shared" ref="P2:P7" si="0">SUM(D2:O2)</f>
        <v>3962.6819999999993</v>
      </c>
      <c r="Q2" s="53" t="s">
        <v>19</v>
      </c>
    </row>
    <row r="3" spans="1:17" x14ac:dyDescent="0.35">
      <c r="A3" s="167"/>
      <c r="B3" s="7">
        <v>2024</v>
      </c>
      <c r="C3" s="7" t="s">
        <v>18</v>
      </c>
      <c r="D3" s="158">
        <f>3+5</f>
        <v>8</v>
      </c>
      <c r="E3" s="159">
        <v>2</v>
      </c>
      <c r="F3" s="159">
        <f>0.251+166+26</f>
        <v>192.251</v>
      </c>
      <c r="G3" s="159">
        <f>0.253+493+74</f>
        <v>567.25299999999993</v>
      </c>
      <c r="H3" s="159">
        <f>0.279+276+86</f>
        <v>362.279</v>
      </c>
      <c r="I3" s="159">
        <f>0.277+245+78</f>
        <v>323.27699999999999</v>
      </c>
      <c r="J3" s="159">
        <f>0.383+0.31+297+65</f>
        <v>362.69299999999998</v>
      </c>
      <c r="K3" s="159">
        <f>179+32</f>
        <v>211</v>
      </c>
      <c r="L3" s="159">
        <f>0.304+220+30</f>
        <v>250.304</v>
      </c>
      <c r="M3" s="159">
        <f>0.257+279+121</f>
        <v>400.25700000000001</v>
      </c>
      <c r="N3" s="159">
        <f>169+121</f>
        <v>290</v>
      </c>
      <c r="O3" s="159">
        <f>0.285+90+80</f>
        <v>170.285</v>
      </c>
      <c r="P3" s="157">
        <f t="shared" si="0"/>
        <v>3139.5989999999997</v>
      </c>
      <c r="Q3" s="55">
        <f>(P3-P2)/P2</f>
        <v>-0.20770856707654053</v>
      </c>
    </row>
    <row r="4" spans="1:17" x14ac:dyDescent="0.35">
      <c r="A4" s="167"/>
      <c r="B4" s="3">
        <v>2025</v>
      </c>
      <c r="C4" s="7" t="s">
        <v>18</v>
      </c>
      <c r="D4" s="160">
        <f>5.83</f>
        <v>5.83</v>
      </c>
      <c r="E4" s="161">
        <f>15.62+0.97</f>
        <v>16.59</v>
      </c>
      <c r="F4" s="161">
        <f>30.57+90.72</f>
        <v>121.28999999999999</v>
      </c>
      <c r="G4" s="161">
        <f>396.48+85.1+0.265</f>
        <v>481.84500000000003</v>
      </c>
      <c r="H4" s="161">
        <f>222.37+71.4+0.3+0.333</f>
        <v>294.40300000000002</v>
      </c>
      <c r="I4" s="161">
        <f>81.74+289.72+0.269</f>
        <v>371.72900000000004</v>
      </c>
      <c r="J4" s="161">
        <f>240.27+109.86+0.309</f>
        <v>350.43900000000002</v>
      </c>
      <c r="K4" s="161">
        <f>183.42+37.09+0.273</f>
        <v>220.78299999999999</v>
      </c>
      <c r="L4" s="161">
        <f>245.13+74.56+0.344</f>
        <v>320.03399999999999</v>
      </c>
      <c r="M4" s="161">
        <f>251.9+87.31+0.311</f>
        <v>339.52100000000002</v>
      </c>
      <c r="N4" s="159">
        <f>182.95+33.99+0.285</f>
        <v>217.22499999999999</v>
      </c>
      <c r="O4" s="159">
        <f>108.94+33.67</f>
        <v>142.61000000000001</v>
      </c>
      <c r="P4" s="157">
        <f t="shared" si="0"/>
        <v>2882.2990000000004</v>
      </c>
      <c r="Q4" s="56">
        <f>(P4-P3)/P3</f>
        <v>-8.1953141149554223E-2</v>
      </c>
    </row>
    <row r="5" spans="1:17" x14ac:dyDescent="0.35">
      <c r="A5" s="164" t="s">
        <v>30</v>
      </c>
      <c r="B5" s="7">
        <v>2023</v>
      </c>
      <c r="C5" s="4" t="s">
        <v>18</v>
      </c>
      <c r="D5" s="155"/>
      <c r="E5" s="156"/>
      <c r="F5" s="156"/>
      <c r="G5" s="156"/>
      <c r="H5" s="156"/>
      <c r="I5" s="156">
        <v>737</v>
      </c>
      <c r="J5" s="156">
        <v>1556</v>
      </c>
      <c r="K5" s="156">
        <f>1270+160</f>
        <v>1430</v>
      </c>
      <c r="L5" s="156">
        <f>459+241349</f>
        <v>241808</v>
      </c>
      <c r="M5" s="156">
        <v>406.9</v>
      </c>
      <c r="N5" s="156">
        <v>144026</v>
      </c>
      <c r="O5" s="156">
        <f>99+7.34</f>
        <v>106.34</v>
      </c>
      <c r="P5" s="162">
        <f t="shared" si="0"/>
        <v>390070.24000000005</v>
      </c>
      <c r="Q5" s="53" t="s">
        <v>19</v>
      </c>
    </row>
    <row r="6" spans="1:17" x14ac:dyDescent="0.35">
      <c r="A6" s="165"/>
      <c r="B6" s="7">
        <v>2024</v>
      </c>
      <c r="C6" s="7" t="s">
        <v>18</v>
      </c>
      <c r="D6" s="155"/>
      <c r="E6" s="156"/>
      <c r="F6" s="156"/>
      <c r="G6" s="156"/>
      <c r="H6" s="156">
        <f>430+826</f>
        <v>1256</v>
      </c>
      <c r="I6" s="156">
        <f>474+731</f>
        <v>1205</v>
      </c>
      <c r="J6" s="156">
        <v>408</v>
      </c>
      <c r="K6" s="156">
        <f>392+552</f>
        <v>944</v>
      </c>
      <c r="L6" s="156">
        <f>392+552</f>
        <v>944</v>
      </c>
      <c r="M6" s="156">
        <f>281+413+1442</f>
        <v>2136</v>
      </c>
      <c r="N6" s="156"/>
      <c r="O6" s="156"/>
      <c r="P6" s="162">
        <f t="shared" si="0"/>
        <v>6893</v>
      </c>
      <c r="Q6" s="55">
        <f>(P6-P5)/P5</f>
        <v>-0.98232882364981244</v>
      </c>
    </row>
    <row r="7" spans="1:17" x14ac:dyDescent="0.35">
      <c r="A7" s="165"/>
      <c r="B7" s="3">
        <v>2025</v>
      </c>
      <c r="C7" s="7" t="s">
        <v>18</v>
      </c>
      <c r="D7" s="155"/>
      <c r="E7" s="156"/>
      <c r="F7" s="156"/>
      <c r="G7" s="156"/>
      <c r="H7" s="156">
        <f>335.24+1280.98</f>
        <v>1616.22</v>
      </c>
      <c r="I7" s="156">
        <f>765.96+2050.01</f>
        <v>2815.9700000000003</v>
      </c>
      <c r="J7" s="156">
        <f>667.06+1697.58</f>
        <v>2364.64</v>
      </c>
      <c r="K7" s="156">
        <f>421.66+1841.16</f>
        <v>2262.8200000000002</v>
      </c>
      <c r="L7" s="156">
        <f>698.13+545.48</f>
        <v>1243.6100000000001</v>
      </c>
      <c r="M7" s="156">
        <f>440.02+837.62</f>
        <v>1277.6399999999999</v>
      </c>
      <c r="N7" s="156"/>
      <c r="O7" s="156"/>
      <c r="P7" s="162">
        <f t="shared" si="0"/>
        <v>11580.9</v>
      </c>
      <c r="Q7" s="56">
        <f>(P7-P6)/P6</f>
        <v>0.680095749310895</v>
      </c>
    </row>
    <row r="8" spans="1:17" x14ac:dyDescent="0.35">
      <c r="A8" s="166" t="s">
        <v>33</v>
      </c>
      <c r="B8" s="7">
        <v>2023</v>
      </c>
      <c r="C8" s="4" t="s">
        <v>18</v>
      </c>
      <c r="D8" s="155"/>
      <c r="E8" s="156"/>
      <c r="F8" s="156"/>
      <c r="G8" s="156">
        <f>2.5+2</f>
        <v>4.5</v>
      </c>
      <c r="H8" s="156">
        <v>3</v>
      </c>
      <c r="I8" s="156">
        <v>3</v>
      </c>
      <c r="J8" s="156">
        <f>2+4</f>
        <v>6</v>
      </c>
      <c r="K8" s="156">
        <v>2</v>
      </c>
      <c r="L8" s="156">
        <f>2+2</f>
        <v>4</v>
      </c>
      <c r="M8" s="156">
        <v>1</v>
      </c>
      <c r="N8" s="156">
        <v>2</v>
      </c>
      <c r="O8" s="156"/>
      <c r="P8" s="162">
        <f t="shared" ref="P8:P16" si="1">SUM(D8:O8)</f>
        <v>25.5</v>
      </c>
      <c r="Q8" s="53" t="s">
        <v>19</v>
      </c>
    </row>
    <row r="9" spans="1:17" x14ac:dyDescent="0.35">
      <c r="A9" s="167"/>
      <c r="B9" s="7">
        <v>2024</v>
      </c>
      <c r="C9" s="7" t="s">
        <v>18</v>
      </c>
      <c r="D9" s="155"/>
      <c r="E9" s="156"/>
      <c r="F9" s="156">
        <v>3</v>
      </c>
      <c r="G9" s="156">
        <v>2.6739999999999999</v>
      </c>
      <c r="H9" s="156">
        <v>3</v>
      </c>
      <c r="I9" s="156">
        <f>3+2</f>
        <v>5</v>
      </c>
      <c r="J9" s="156">
        <f>3+2.5</f>
        <v>5.5</v>
      </c>
      <c r="K9" s="156">
        <v>3</v>
      </c>
      <c r="L9" s="156">
        <v>3</v>
      </c>
      <c r="M9" s="156">
        <v>3</v>
      </c>
      <c r="N9" s="156"/>
      <c r="O9" s="156"/>
      <c r="P9" s="162">
        <f t="shared" si="1"/>
        <v>28.173999999999999</v>
      </c>
      <c r="Q9" s="55">
        <f>(P9-P8)/P8</f>
        <v>0.1048627450980392</v>
      </c>
    </row>
    <row r="10" spans="1:17" x14ac:dyDescent="0.35">
      <c r="A10" s="167"/>
      <c r="B10" s="3">
        <v>2025</v>
      </c>
      <c r="C10" s="7" t="s">
        <v>18</v>
      </c>
      <c r="D10" s="155"/>
      <c r="E10" s="156"/>
      <c r="F10" s="156">
        <v>3</v>
      </c>
      <c r="G10" s="156">
        <v>0</v>
      </c>
      <c r="H10" s="156">
        <v>3</v>
      </c>
      <c r="I10" s="156">
        <f>3+3</f>
        <v>6</v>
      </c>
      <c r="J10" s="156">
        <v>3</v>
      </c>
      <c r="K10" s="156">
        <v>2.5</v>
      </c>
      <c r="L10" s="156">
        <v>2.5</v>
      </c>
      <c r="M10" s="156">
        <v>3.5</v>
      </c>
      <c r="N10" s="156">
        <v>1.9259999999999999</v>
      </c>
      <c r="O10" s="156"/>
      <c r="P10" s="162">
        <f t="shared" si="1"/>
        <v>25.425999999999998</v>
      </c>
      <c r="Q10" s="56">
        <f>(P10-P9)/P9</f>
        <v>-9.7536735997728441E-2</v>
      </c>
    </row>
    <row r="11" spans="1:17" x14ac:dyDescent="0.35">
      <c r="A11" s="164" t="s">
        <v>34</v>
      </c>
      <c r="B11" s="7">
        <v>2023</v>
      </c>
      <c r="C11" s="4" t="s">
        <v>18</v>
      </c>
      <c r="D11" s="155"/>
      <c r="E11" s="156"/>
      <c r="F11" s="156"/>
      <c r="G11" s="156">
        <f>0.872+0.9+1.2+0.75</f>
        <v>3.722</v>
      </c>
      <c r="H11" s="156">
        <f>0.897+2.4+0.64</f>
        <v>3.9369999999999998</v>
      </c>
      <c r="I11" s="156">
        <f>0.9+0.774+0.68+2.4+0.75+0.78</f>
        <v>6.2839999999999998</v>
      </c>
      <c r="J11" s="156">
        <f>0.643+0.63+2.6+0.81</f>
        <v>4.6829999999999998</v>
      </c>
      <c r="K11" s="156">
        <f>0.934+0.66+2.9+0.66+0.69</f>
        <v>5.8439999999999994</v>
      </c>
      <c r="L11" s="156">
        <f>1.035+0.616+1.6+3.2+0.54</f>
        <v>6.9910000000000005</v>
      </c>
      <c r="M11" s="156">
        <f>0.994+0.8+0.84+3.2</f>
        <v>5.8339999999999996</v>
      </c>
      <c r="N11" s="156">
        <f>0.9+0.6+0.58</f>
        <v>2.08</v>
      </c>
      <c r="O11" s="156">
        <f>0.333+0.15+2.9</f>
        <v>3.383</v>
      </c>
      <c r="P11" s="162">
        <f t="shared" si="1"/>
        <v>42.758000000000003</v>
      </c>
      <c r="Q11" s="53" t="s">
        <v>19</v>
      </c>
    </row>
    <row r="12" spans="1:17" x14ac:dyDescent="0.35">
      <c r="A12" s="165"/>
      <c r="B12" s="7">
        <v>2024</v>
      </c>
      <c r="C12" s="7" t="s">
        <v>18</v>
      </c>
      <c r="D12" s="155"/>
      <c r="E12" s="156"/>
      <c r="F12" s="156"/>
      <c r="G12" s="156">
        <f>0.34+0.904+0.69+0.64</f>
        <v>2.5739999999999998</v>
      </c>
      <c r="H12" s="156">
        <f>0.7502+1+0.96+2.6</f>
        <v>5.3102</v>
      </c>
      <c r="I12" s="156">
        <f>0.9+0.75+0.75+2+3.6</f>
        <v>8</v>
      </c>
      <c r="J12" s="156">
        <f>3.6+0.96</f>
        <v>4.5600000000000005</v>
      </c>
      <c r="K12" s="156">
        <f>1.1+0.944+1.9+0.54+1.02+3</f>
        <v>8.5039999999999996</v>
      </c>
      <c r="L12" s="156">
        <f>1+0.84+0.84+0.5</f>
        <v>3.1799999999999997</v>
      </c>
      <c r="M12" s="156">
        <f>1.142+0.9+1.8+2</f>
        <v>5.8419999999999996</v>
      </c>
      <c r="N12" s="156">
        <f>0.901+0.8+1</f>
        <v>2.7010000000000001</v>
      </c>
      <c r="O12" s="156"/>
      <c r="P12" s="162">
        <f t="shared" si="1"/>
        <v>40.671199999999999</v>
      </c>
      <c r="Q12" s="55">
        <f>(P12-P11)/P11</f>
        <v>-4.8804902006642115E-2</v>
      </c>
    </row>
    <row r="13" spans="1:17" x14ac:dyDescent="0.35">
      <c r="A13" s="165"/>
      <c r="B13" s="3">
        <v>2025</v>
      </c>
      <c r="C13" s="7" t="s">
        <v>18</v>
      </c>
      <c r="D13" s="155"/>
      <c r="E13" s="156"/>
      <c r="F13" s="156">
        <f>0.4+0.66+1.8+2.6+0.6</f>
        <v>6.0600000000000005</v>
      </c>
      <c r="G13" s="156">
        <f>0.5+0.9</f>
        <v>1.4</v>
      </c>
      <c r="H13" s="156">
        <f>1.8+1+0.66+0.54+1.02+1.6+0.5</f>
        <v>7.1199999999999992</v>
      </c>
      <c r="I13" s="156">
        <f>0.6+0.7+0.66+0.66+2.8+0.339</f>
        <v>5.7590000000000003</v>
      </c>
      <c r="J13" s="156">
        <f>0.75+0.634+0.9+0.84+2.6</f>
        <v>5.7240000000000002</v>
      </c>
      <c r="K13" s="156">
        <f>0.619+0.24+0.6+0.72+3.2</f>
        <v>5.3790000000000004</v>
      </c>
      <c r="L13" s="156">
        <f>0.6+0.75+0.69</f>
        <v>2.04</v>
      </c>
      <c r="M13" s="156">
        <f>1.2+0.496+3.021+0.6</f>
        <v>5.3169999999999993</v>
      </c>
      <c r="N13" s="156">
        <f>0.478+0.3</f>
        <v>0.77800000000000002</v>
      </c>
      <c r="O13" s="156">
        <v>1.35</v>
      </c>
      <c r="P13" s="162">
        <f t="shared" si="1"/>
        <v>40.927</v>
      </c>
      <c r="Q13" s="56">
        <f>(P13-P12)/P12</f>
        <v>6.2894628139814092E-3</v>
      </c>
    </row>
    <row r="14" spans="1:17" x14ac:dyDescent="0.35">
      <c r="A14" s="166" t="s">
        <v>40</v>
      </c>
      <c r="B14" s="7">
        <v>2023</v>
      </c>
      <c r="C14" s="4" t="s">
        <v>18</v>
      </c>
      <c r="D14" s="155"/>
      <c r="E14" s="156"/>
      <c r="F14" s="156"/>
      <c r="G14" s="156">
        <f>0.82+2.02+1.66</f>
        <v>4.5</v>
      </c>
      <c r="H14" s="156"/>
      <c r="I14" s="156"/>
      <c r="J14" s="156"/>
      <c r="K14" s="156"/>
      <c r="L14" s="156"/>
      <c r="M14" s="156"/>
      <c r="N14" s="156"/>
      <c r="O14" s="156"/>
      <c r="P14" s="162">
        <f t="shared" si="1"/>
        <v>4.5</v>
      </c>
      <c r="Q14" s="53" t="s">
        <v>19</v>
      </c>
    </row>
    <row r="15" spans="1:17" x14ac:dyDescent="0.35">
      <c r="A15" s="167"/>
      <c r="B15" s="7">
        <v>2024</v>
      </c>
      <c r="C15" s="7" t="s">
        <v>18</v>
      </c>
      <c r="D15" s="155"/>
      <c r="E15" s="156"/>
      <c r="F15" s="156"/>
      <c r="G15" s="156">
        <f>2.2+2.03</f>
        <v>4.2300000000000004</v>
      </c>
      <c r="H15" s="156"/>
      <c r="I15" s="156"/>
      <c r="J15" s="156"/>
      <c r="K15" s="156"/>
      <c r="L15" s="156"/>
      <c r="M15" s="156"/>
      <c r="N15" s="156"/>
      <c r="O15" s="156"/>
      <c r="P15" s="162">
        <f t="shared" si="1"/>
        <v>4.2300000000000004</v>
      </c>
      <c r="Q15" s="55">
        <f>(P15-P14)/P14</f>
        <v>-5.9999999999999908E-2</v>
      </c>
    </row>
    <row r="16" spans="1:17" x14ac:dyDescent="0.35">
      <c r="A16" s="168"/>
      <c r="B16" s="3">
        <v>2025</v>
      </c>
      <c r="C16" s="7" t="s">
        <v>18</v>
      </c>
      <c r="D16" s="155"/>
      <c r="E16" s="156"/>
      <c r="F16" s="163">
        <v>1.881</v>
      </c>
      <c r="G16" s="156"/>
      <c r="H16" s="156"/>
      <c r="I16" s="156"/>
      <c r="J16" s="156"/>
      <c r="K16" s="156"/>
      <c r="L16" s="156"/>
      <c r="M16" s="156"/>
      <c r="N16" s="156"/>
      <c r="O16" s="156"/>
      <c r="P16" s="162">
        <f t="shared" si="1"/>
        <v>1.881</v>
      </c>
      <c r="Q16" s="56">
        <f>(P16-P15)/P15</f>
        <v>-0.55531914893617018</v>
      </c>
    </row>
    <row r="17" spans="1:17" x14ac:dyDescent="0.35">
      <c r="A17" s="169" t="s">
        <v>43</v>
      </c>
      <c r="B17" s="3">
        <v>2023</v>
      </c>
      <c r="C17" s="4" t="s">
        <v>18</v>
      </c>
      <c r="D17" s="155"/>
      <c r="E17" s="156"/>
      <c r="F17" s="156">
        <v>1.97</v>
      </c>
      <c r="G17" s="156"/>
      <c r="H17" s="156">
        <v>1774.1</v>
      </c>
      <c r="I17" s="156">
        <v>3862.02</v>
      </c>
      <c r="J17" s="156">
        <v>3942</v>
      </c>
      <c r="K17" s="156">
        <v>3739.92</v>
      </c>
      <c r="L17" s="156">
        <v>2633.18</v>
      </c>
      <c r="M17" s="156">
        <v>2077.34</v>
      </c>
      <c r="N17" s="156"/>
      <c r="O17" s="156"/>
      <c r="P17" s="162">
        <f t="shared" ref="P17:P19" si="2">SUM(D17:O17)</f>
        <v>18030.53</v>
      </c>
      <c r="Q17" s="53" t="s">
        <v>19</v>
      </c>
    </row>
    <row r="18" spans="1:17" x14ac:dyDescent="0.35">
      <c r="A18" s="170"/>
      <c r="B18" s="3">
        <v>2024</v>
      </c>
      <c r="C18" s="7" t="s">
        <v>18</v>
      </c>
      <c r="D18" s="155"/>
      <c r="E18" s="156"/>
      <c r="F18" s="156"/>
      <c r="G18" s="156">
        <v>964.24</v>
      </c>
      <c r="H18" s="156">
        <v>2863.35</v>
      </c>
      <c r="I18" s="156">
        <v>3458.51</v>
      </c>
      <c r="J18" s="156">
        <v>3934.49</v>
      </c>
      <c r="K18" s="156">
        <v>3554.18</v>
      </c>
      <c r="L18" s="156"/>
      <c r="M18" s="156">
        <v>1569.05</v>
      </c>
      <c r="N18" s="156"/>
      <c r="O18" s="156"/>
      <c r="P18" s="162">
        <f t="shared" si="2"/>
        <v>16343.82</v>
      </c>
      <c r="Q18" s="55">
        <f>(P18-P17)/P17</f>
        <v>-9.354744425150005E-2</v>
      </c>
    </row>
    <row r="19" spans="1:17" x14ac:dyDescent="0.35">
      <c r="A19" s="170"/>
      <c r="B19" s="3">
        <v>2025</v>
      </c>
      <c r="C19" s="7" t="s">
        <v>18</v>
      </c>
      <c r="D19" s="155"/>
      <c r="E19" s="156"/>
      <c r="F19" s="156"/>
      <c r="G19" s="156"/>
      <c r="H19" s="156">
        <v>2033</v>
      </c>
      <c r="I19" s="156">
        <v>3030.08</v>
      </c>
      <c r="J19" s="156">
        <v>3570.56</v>
      </c>
      <c r="K19" s="156">
        <v>2605.0300000000002</v>
      </c>
      <c r="L19" s="156">
        <v>2212.7199999999998</v>
      </c>
      <c r="M19" s="156">
        <v>529.01</v>
      </c>
      <c r="N19" s="156"/>
      <c r="O19" s="156"/>
      <c r="P19" s="162">
        <f t="shared" si="2"/>
        <v>13980.4</v>
      </c>
      <c r="Q19" s="56">
        <f>(P19-P18)/P18</f>
        <v>-0.14460634050056842</v>
      </c>
    </row>
    <row r="29" spans="1:17" x14ac:dyDescent="0.35">
      <c r="P29" s="1"/>
    </row>
  </sheetData>
  <autoFilter ref="A1:Q19" xr:uid="{21340092-4822-441C-B813-CFAAC2DAF00B}"/>
  <mergeCells count="6">
    <mergeCell ref="A5:A7"/>
    <mergeCell ref="A2:A4"/>
    <mergeCell ref="A14:A16"/>
    <mergeCell ref="A17:A19"/>
    <mergeCell ref="A8:A10"/>
    <mergeCell ref="A11:A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EE627-B59A-4759-8C9F-65697EF7A45A}">
  <dimension ref="A1:S31"/>
  <sheetViews>
    <sheetView workbookViewId="0">
      <selection activeCell="L2" sqref="L2"/>
    </sheetView>
  </sheetViews>
  <sheetFormatPr baseColWidth="10" defaultColWidth="8.7265625" defaultRowHeight="14.5" x14ac:dyDescent="0.35"/>
  <cols>
    <col min="1" max="1" width="15.7265625" customWidth="1"/>
    <col min="3" max="3" width="14.7265625" customWidth="1"/>
    <col min="4" max="17" width="14" customWidth="1"/>
    <col min="18" max="18" width="13.54296875" customWidth="1"/>
    <col min="19" max="19" width="18.81640625" customWidth="1"/>
  </cols>
  <sheetData>
    <row r="1" spans="1:17" ht="24.75" customHeight="1" x14ac:dyDescent="0.35">
      <c r="A1" s="13" t="s">
        <v>0</v>
      </c>
      <c r="B1" s="14" t="s">
        <v>1</v>
      </c>
      <c r="C1" s="14" t="s">
        <v>2</v>
      </c>
      <c r="D1" s="13" t="s">
        <v>3</v>
      </c>
      <c r="E1" s="15" t="s">
        <v>4</v>
      </c>
      <c r="F1" s="13" t="s">
        <v>5</v>
      </c>
      <c r="G1" s="16" t="s">
        <v>6</v>
      </c>
      <c r="H1" s="15" t="s">
        <v>7</v>
      </c>
      <c r="I1" s="13" t="s">
        <v>8</v>
      </c>
      <c r="J1" s="16" t="s">
        <v>9</v>
      </c>
      <c r="K1" s="15" t="s">
        <v>10</v>
      </c>
      <c r="L1" s="14" t="s">
        <v>11</v>
      </c>
      <c r="M1" s="13" t="s">
        <v>12</v>
      </c>
      <c r="N1" s="16" t="s">
        <v>13</v>
      </c>
      <c r="O1" s="16" t="s">
        <v>14</v>
      </c>
      <c r="P1" s="13" t="s">
        <v>15</v>
      </c>
      <c r="Q1" s="17" t="s">
        <v>16</v>
      </c>
    </row>
    <row r="2" spans="1:17" ht="13.5" customHeight="1" x14ac:dyDescent="0.35">
      <c r="A2" s="174" t="s">
        <v>17</v>
      </c>
      <c r="B2" s="3">
        <v>2023</v>
      </c>
      <c r="C2" s="4" t="s">
        <v>18</v>
      </c>
      <c r="D2" s="147">
        <f>49+66</f>
        <v>115</v>
      </c>
      <c r="E2" s="148">
        <f>30+55</f>
        <v>85</v>
      </c>
      <c r="F2" s="21">
        <f>97+142</f>
        <v>239</v>
      </c>
      <c r="G2" s="21">
        <f>126+208</f>
        <v>334</v>
      </c>
      <c r="H2" s="21">
        <f>134+205</f>
        <v>339</v>
      </c>
      <c r="I2" s="21">
        <f>118+180</f>
        <v>298</v>
      </c>
      <c r="J2" s="21">
        <f>88+97</f>
        <v>185</v>
      </c>
      <c r="K2" s="21">
        <f>110+183</f>
        <v>293</v>
      </c>
      <c r="L2" s="21">
        <f>142+129</f>
        <v>271</v>
      </c>
      <c r="M2" s="21">
        <f>111+135</f>
        <v>246</v>
      </c>
      <c r="N2" s="21">
        <f>221+115</f>
        <v>336</v>
      </c>
      <c r="O2" s="21">
        <f>64+78</f>
        <v>142</v>
      </c>
      <c r="P2" s="41">
        <f>SUM(D2:O2)</f>
        <v>2883</v>
      </c>
      <c r="Q2" s="53" t="s">
        <v>19</v>
      </c>
    </row>
    <row r="3" spans="1:17" ht="13.5" customHeight="1" x14ac:dyDescent="0.35">
      <c r="A3" s="174"/>
      <c r="B3" s="8">
        <v>2023</v>
      </c>
      <c r="C3" s="9" t="s">
        <v>20</v>
      </c>
      <c r="D3" s="26">
        <f>125650+168780</f>
        <v>294430</v>
      </c>
      <c r="E3" s="27">
        <f>73460+140870</f>
        <v>214330</v>
      </c>
      <c r="F3" s="27">
        <f>247410+390200</f>
        <v>637610</v>
      </c>
      <c r="G3" s="27">
        <f>320990+529000</f>
        <v>849990</v>
      </c>
      <c r="H3" s="27">
        <f>341270+521390</f>
        <v>862660</v>
      </c>
      <c r="I3" s="27">
        <f>300690+457960</f>
        <v>758650</v>
      </c>
      <c r="J3" s="27">
        <f>224190+246990</f>
        <v>471180</v>
      </c>
      <c r="K3" s="27">
        <f>279910+464760</f>
        <v>744670</v>
      </c>
      <c r="L3" s="27">
        <f>328020+360940</f>
        <v>688960</v>
      </c>
      <c r="M3" s="27">
        <f>282436+343211</f>
        <v>625647</v>
      </c>
      <c r="N3" s="27">
        <f>323360+590419</f>
        <v>913779</v>
      </c>
      <c r="O3" s="27">
        <f>0+0</f>
        <v>0</v>
      </c>
      <c r="P3" s="49">
        <f t="shared" ref="P3:P29" si="0">SUM(D3:O3)</f>
        <v>7061906</v>
      </c>
      <c r="Q3" s="56" t="s">
        <v>19</v>
      </c>
    </row>
    <row r="4" spans="1:17" ht="13.5" customHeight="1" x14ac:dyDescent="0.35">
      <c r="A4" s="174"/>
      <c r="B4" s="3">
        <v>2024</v>
      </c>
      <c r="C4" s="7" t="s">
        <v>18</v>
      </c>
      <c r="D4" s="28">
        <v>96</v>
      </c>
      <c r="E4" s="12">
        <v>106</v>
      </c>
      <c r="F4" s="12">
        <v>188</v>
      </c>
      <c r="G4" s="12">
        <v>353</v>
      </c>
      <c r="H4" s="12">
        <v>278</v>
      </c>
      <c r="I4" s="12">
        <v>284</v>
      </c>
      <c r="J4" s="12">
        <v>203</v>
      </c>
      <c r="K4" s="12">
        <f>78+61</f>
        <v>139</v>
      </c>
      <c r="L4" s="12">
        <v>231</v>
      </c>
      <c r="M4" s="12">
        <v>212</v>
      </c>
      <c r="N4" s="12">
        <f>137+84</f>
        <v>221</v>
      </c>
      <c r="O4" s="12">
        <f>130+130</f>
        <v>260</v>
      </c>
      <c r="P4" s="41">
        <f t="shared" si="0"/>
        <v>2571</v>
      </c>
      <c r="Q4" s="55">
        <f>(P4-P2)/P2</f>
        <v>-0.10822060353798127</v>
      </c>
    </row>
    <row r="5" spans="1:17" ht="13.5" customHeight="1" x14ac:dyDescent="0.35">
      <c r="A5" s="174"/>
      <c r="B5" s="10">
        <v>2024</v>
      </c>
      <c r="C5" s="11" t="s">
        <v>20</v>
      </c>
      <c r="D5" s="29">
        <f>110240+135560</f>
        <v>245800</v>
      </c>
      <c r="E5" s="30">
        <f>135560+110240</f>
        <v>245800</v>
      </c>
      <c r="F5" s="30">
        <v>0</v>
      </c>
      <c r="G5" s="30">
        <f>135660+266100</f>
        <v>401760</v>
      </c>
      <c r="H5" s="30">
        <f>352310+568030</f>
        <v>920340</v>
      </c>
      <c r="I5" s="30">
        <f>331510+393900</f>
        <v>725410</v>
      </c>
      <c r="J5" s="30">
        <f>321110+419880</f>
        <v>740990</v>
      </c>
      <c r="K5" s="30">
        <f>204160+159970</f>
        <v>364130</v>
      </c>
      <c r="L5" s="30">
        <f>289920+313320</f>
        <v>603240</v>
      </c>
      <c r="M5" s="30">
        <f>308120+245740</f>
        <v>553860</v>
      </c>
      <c r="N5" s="30">
        <f>357510+219750</f>
        <v>577260</v>
      </c>
      <c r="O5" s="30">
        <f>349140+341480</f>
        <v>690620</v>
      </c>
      <c r="P5" s="49">
        <f t="shared" si="0"/>
        <v>6069210</v>
      </c>
      <c r="Q5" s="57">
        <f>(P5-P3)/P3</f>
        <v>-0.14057054851763814</v>
      </c>
    </row>
    <row r="6" spans="1:17" ht="13.5" customHeight="1" x14ac:dyDescent="0.35">
      <c r="A6" s="174"/>
      <c r="B6" s="3">
        <v>2025</v>
      </c>
      <c r="C6" s="7" t="s">
        <v>18</v>
      </c>
      <c r="D6" s="28">
        <f>83+93</f>
        <v>176</v>
      </c>
      <c r="E6" s="12">
        <f>82+43</f>
        <v>125</v>
      </c>
      <c r="F6" s="12">
        <f>73+41</f>
        <v>114</v>
      </c>
      <c r="G6" s="12">
        <f>176+138</f>
        <v>314</v>
      </c>
      <c r="H6" s="12">
        <f>165+184</f>
        <v>349</v>
      </c>
      <c r="I6" s="12">
        <f>160+181</f>
        <v>341</v>
      </c>
      <c r="J6" s="12">
        <f>0+130+300</f>
        <v>430</v>
      </c>
      <c r="K6" s="12">
        <f>74+117</f>
        <v>191</v>
      </c>
      <c r="L6" s="12">
        <f>153+195</f>
        <v>348</v>
      </c>
      <c r="M6" s="12">
        <f>147+140</f>
        <v>287</v>
      </c>
      <c r="N6" s="12">
        <f>160+134</f>
        <v>294</v>
      </c>
      <c r="O6" s="12"/>
      <c r="P6" s="41">
        <f t="shared" si="0"/>
        <v>2969</v>
      </c>
      <c r="Q6" s="56">
        <f>(P6-P4)/P4</f>
        <v>0.15480357837417347</v>
      </c>
    </row>
    <row r="7" spans="1:17" ht="13.5" customHeight="1" x14ac:dyDescent="0.35">
      <c r="A7" s="174"/>
      <c r="B7" s="8">
        <v>2025</v>
      </c>
      <c r="C7" s="9" t="s">
        <v>20</v>
      </c>
      <c r="D7" s="29">
        <f>233450+250190</f>
        <v>483640</v>
      </c>
      <c r="E7" s="30">
        <f>221190+116690</f>
        <v>337880</v>
      </c>
      <c r="F7" s="30">
        <f>197069+11328</f>
        <v>208397</v>
      </c>
      <c r="G7" s="30">
        <f>469930+662880</f>
        <v>1132810</v>
      </c>
      <c r="H7" s="30">
        <f>435537+494483</f>
        <v>930020</v>
      </c>
      <c r="I7" s="30">
        <f>486445+430177</f>
        <v>916622</v>
      </c>
      <c r="J7" s="30">
        <f>383955+130+920</f>
        <v>385005</v>
      </c>
      <c r="K7" s="30">
        <f>314970+199748</f>
        <v>514718</v>
      </c>
      <c r="L7" s="30">
        <f>523957+411422</f>
        <v>935379</v>
      </c>
      <c r="M7" s="30">
        <f>376590+395340</f>
        <v>771930</v>
      </c>
      <c r="N7" s="30">
        <f>360510+430177</f>
        <v>790687</v>
      </c>
      <c r="O7" s="30"/>
      <c r="P7" s="49">
        <f t="shared" si="0"/>
        <v>7407088</v>
      </c>
      <c r="Q7" s="54">
        <f>(P7-P5)/P5</f>
        <v>0.22043692671698623</v>
      </c>
    </row>
    <row r="8" spans="1:17" x14ac:dyDescent="0.35">
      <c r="A8" s="171" t="s">
        <v>35</v>
      </c>
      <c r="B8" s="7">
        <v>2023</v>
      </c>
      <c r="C8" s="4" t="s">
        <v>18</v>
      </c>
      <c r="D8" s="20">
        <f>426+244+1</f>
        <v>671</v>
      </c>
      <c r="E8" s="21">
        <f>385+211+2</f>
        <v>598</v>
      </c>
      <c r="F8" s="21">
        <f>446+198+1</f>
        <v>645</v>
      </c>
      <c r="G8" s="21">
        <f>454+333+1</f>
        <v>788</v>
      </c>
      <c r="H8" s="21">
        <f>430+395+1</f>
        <v>826</v>
      </c>
      <c r="I8" s="21">
        <f>499+319+1</f>
        <v>819</v>
      </c>
      <c r="J8" s="21">
        <f>620+344</f>
        <v>964</v>
      </c>
      <c r="K8" s="21">
        <f>472+188</f>
        <v>660</v>
      </c>
      <c r="L8" s="21">
        <f>256+2+387+1</f>
        <v>646</v>
      </c>
      <c r="M8" s="21">
        <f>410+28+304</f>
        <v>742</v>
      </c>
      <c r="N8" s="21">
        <f>593+28+239+66</f>
        <v>926</v>
      </c>
      <c r="O8" s="21">
        <f>582+297+31</f>
        <v>910</v>
      </c>
      <c r="P8" s="22">
        <f t="shared" si="0"/>
        <v>9195</v>
      </c>
      <c r="Q8" s="53" t="s">
        <v>19</v>
      </c>
    </row>
    <row r="9" spans="1:17" x14ac:dyDescent="0.35">
      <c r="A9" s="172"/>
      <c r="B9" s="9">
        <v>2023</v>
      </c>
      <c r="C9" s="9" t="s">
        <v>20</v>
      </c>
      <c r="D9" s="23">
        <f>2290+360320+646990</f>
        <v>1009600</v>
      </c>
      <c r="E9" s="24">
        <f>3760+311710+568080</f>
        <v>883550</v>
      </c>
      <c r="F9" s="24">
        <f>2230+286520+683190</f>
        <v>971940</v>
      </c>
      <c r="G9" s="36">
        <f>2280+492300+707260</f>
        <v>1201840</v>
      </c>
      <c r="H9" s="24">
        <f>2290+583430+635060</f>
        <v>1220780</v>
      </c>
      <c r="I9" s="24">
        <f>2290+471340+736830</f>
        <v>1210460</v>
      </c>
      <c r="J9" s="36">
        <f>810+508210+915310</f>
        <v>1424330</v>
      </c>
      <c r="K9" s="24">
        <f>810+278110+697010</f>
        <v>975930</v>
      </c>
      <c r="L9" s="24">
        <f>2290+571630+378410</f>
        <v>952330</v>
      </c>
      <c r="M9" s="36">
        <f>820+449210+605560</f>
        <v>1055590</v>
      </c>
      <c r="N9" s="36">
        <f>98160+353340+875480</f>
        <v>1326980</v>
      </c>
      <c r="O9" s="24">
        <f>46870+441880+882260</f>
        <v>1371010</v>
      </c>
      <c r="P9" s="25">
        <f t="shared" si="0"/>
        <v>13604340</v>
      </c>
      <c r="Q9" s="56" t="s">
        <v>19</v>
      </c>
    </row>
    <row r="10" spans="1:17" x14ac:dyDescent="0.35">
      <c r="A10" s="172"/>
      <c r="B10" s="7">
        <v>2024</v>
      </c>
      <c r="C10" s="7" t="s">
        <v>18</v>
      </c>
      <c r="D10" s="20">
        <f>549+219</f>
        <v>768</v>
      </c>
      <c r="E10" s="21">
        <f>545+297+1</f>
        <v>843</v>
      </c>
      <c r="F10" s="21">
        <f>510+201</f>
        <v>711</v>
      </c>
      <c r="G10" s="21">
        <f>369+297+2</f>
        <v>668</v>
      </c>
      <c r="H10" s="21">
        <f>392+316</f>
        <v>708</v>
      </c>
      <c r="I10" s="21">
        <f>238+271</f>
        <v>509</v>
      </c>
      <c r="J10" s="21">
        <f>241+296</f>
        <v>537</v>
      </c>
      <c r="K10" s="21">
        <f>196+150+1</f>
        <v>347</v>
      </c>
      <c r="L10" s="21">
        <f>195+268</f>
        <v>463</v>
      </c>
      <c r="M10" s="21">
        <f>177+344+1</f>
        <v>522</v>
      </c>
      <c r="N10" s="21">
        <f>237+433</f>
        <v>670</v>
      </c>
      <c r="O10" s="21">
        <f>354+265+1</f>
        <v>620</v>
      </c>
      <c r="P10" s="22">
        <f t="shared" si="0"/>
        <v>7366</v>
      </c>
      <c r="Q10" s="55">
        <f t="shared" ref="Q10" si="1">(P10-P8)/P8</f>
        <v>-0.19891245241979336</v>
      </c>
    </row>
    <row r="11" spans="1:17" x14ac:dyDescent="0.35">
      <c r="A11" s="172"/>
      <c r="B11" s="11">
        <v>2024</v>
      </c>
      <c r="C11" s="11" t="s">
        <v>20</v>
      </c>
      <c r="D11" s="23">
        <f>850+325710+888760</f>
        <v>1215320</v>
      </c>
      <c r="E11" s="24">
        <f>2320+441480+879250</f>
        <v>1323050</v>
      </c>
      <c r="F11" s="24">
        <f>840+299060+795990</f>
        <v>1095890</v>
      </c>
      <c r="G11" s="36">
        <f>3880+457700+578480</f>
        <v>1040060</v>
      </c>
      <c r="H11" s="24">
        <f>840+479480+594610</f>
        <v>1074930</v>
      </c>
      <c r="I11" s="24">
        <f>860+425960+374200</f>
        <v>801020</v>
      </c>
      <c r="J11" s="36">
        <f>860+467900+381110</f>
        <v>849870</v>
      </c>
      <c r="K11" s="24">
        <f>3310+717060+701380</f>
        <v>1421750</v>
      </c>
      <c r="L11" s="24">
        <f>870+426970+311180</f>
        <v>739020</v>
      </c>
      <c r="M11" s="36">
        <f>1580+119120+281410</f>
        <v>402110</v>
      </c>
      <c r="N11" s="36">
        <f>860+377080+860+687580</f>
        <v>1066380</v>
      </c>
      <c r="O11" s="24">
        <f>2450+420820+860+571750</f>
        <v>995880</v>
      </c>
      <c r="P11" s="25">
        <f t="shared" si="0"/>
        <v>12025280</v>
      </c>
      <c r="Q11" s="57">
        <f>(P11-P9)/P9</f>
        <v>-0.11607031285604447</v>
      </c>
    </row>
    <row r="12" spans="1:17" x14ac:dyDescent="0.35">
      <c r="A12" s="172"/>
      <c r="B12" s="3">
        <v>2025</v>
      </c>
      <c r="C12" s="7" t="s">
        <v>18</v>
      </c>
      <c r="D12" s="20">
        <f>332+0+0+215+1</f>
        <v>548</v>
      </c>
      <c r="E12" s="21">
        <f>265+0+0+176+0</f>
        <v>441</v>
      </c>
      <c r="F12" s="21">
        <f>212+0+0+157+1</f>
        <v>370</v>
      </c>
      <c r="G12" s="21">
        <f>410+0+232</f>
        <v>642</v>
      </c>
      <c r="H12" s="21">
        <f>500+335+1</f>
        <v>836</v>
      </c>
      <c r="I12" s="21">
        <f>329+237+0+0</f>
        <v>566</v>
      </c>
      <c r="J12" s="21">
        <f>278+0+0+183+1</f>
        <v>462</v>
      </c>
      <c r="K12" s="21">
        <f>192+159</f>
        <v>351</v>
      </c>
      <c r="L12" s="21">
        <f>255+0+0+303+0</f>
        <v>558</v>
      </c>
      <c r="M12" s="21">
        <f>252+0+0+271+1</f>
        <v>524</v>
      </c>
      <c r="N12" s="21">
        <f>244+0+0+248+0</f>
        <v>492</v>
      </c>
      <c r="O12" s="21">
        <f>293+0+261+1+0</f>
        <v>555</v>
      </c>
      <c r="P12" s="22">
        <f t="shared" si="0"/>
        <v>6345</v>
      </c>
      <c r="Q12" s="56">
        <f>(P12-P10)/P10</f>
        <v>-0.13860982894379581</v>
      </c>
    </row>
    <row r="13" spans="1:17" x14ac:dyDescent="0.35">
      <c r="A13" s="173"/>
      <c r="B13" s="10">
        <v>2025</v>
      </c>
      <c r="C13" s="11" t="s">
        <v>20</v>
      </c>
      <c r="D13" s="23">
        <f>342290+869+2450+0+578500</f>
        <v>924109</v>
      </c>
      <c r="E13" s="24">
        <f>428750+0+890+285050+880</f>
        <v>715570</v>
      </c>
      <c r="F13" s="24">
        <f>343170+0+890+254370+2510</f>
        <v>600940</v>
      </c>
      <c r="G13" s="36">
        <f>766950+0+890+375550+880</f>
        <v>1144270</v>
      </c>
      <c r="H13" s="24">
        <f>809080+0+880+551500+2510</f>
        <v>1363970</v>
      </c>
      <c r="I13" s="24">
        <f>533920+0+890+384870+890</f>
        <v>920570</v>
      </c>
      <c r="J13" s="36">
        <f>2510+300110+890+0+455980</f>
        <v>759490</v>
      </c>
      <c r="K13" s="24">
        <f>258500+311970</f>
        <v>570470</v>
      </c>
      <c r="L13" s="24">
        <f>880+491360+0+0+413260</f>
        <v>905500</v>
      </c>
      <c r="M13" s="36">
        <f>2510+439980+0+0+409190</f>
        <v>851680</v>
      </c>
      <c r="N13" s="36">
        <f>396220+402700+890</f>
        <v>799810</v>
      </c>
      <c r="O13" s="24">
        <f>433740+0+493420+250</f>
        <v>927410</v>
      </c>
      <c r="P13" s="25">
        <f t="shared" si="0"/>
        <v>10483789</v>
      </c>
      <c r="Q13" s="54">
        <f>(P13-P11)/P11</f>
        <v>-0.12818753492642168</v>
      </c>
    </row>
    <row r="14" spans="1:17" x14ac:dyDescent="0.35">
      <c r="A14" s="171" t="s">
        <v>40</v>
      </c>
      <c r="B14" s="7">
        <v>2023</v>
      </c>
      <c r="C14" s="4" t="s">
        <v>18</v>
      </c>
      <c r="D14" s="20">
        <f>1234+51</f>
        <v>1285</v>
      </c>
      <c r="E14" s="21">
        <v>855</v>
      </c>
      <c r="F14" s="21">
        <v>1103</v>
      </c>
      <c r="G14" s="21">
        <v>1290</v>
      </c>
      <c r="H14" s="21">
        <v>898</v>
      </c>
      <c r="I14" s="21">
        <v>647</v>
      </c>
      <c r="J14" s="21">
        <v>632</v>
      </c>
      <c r="K14" s="21">
        <v>475</v>
      </c>
      <c r="L14" s="21">
        <v>754</v>
      </c>
      <c r="M14" s="21">
        <v>479</v>
      </c>
      <c r="N14" s="21">
        <v>1295</v>
      </c>
      <c r="O14" s="21">
        <v>1090</v>
      </c>
      <c r="P14" s="22">
        <f t="shared" si="0"/>
        <v>10803</v>
      </c>
      <c r="Q14" s="53" t="s">
        <v>19</v>
      </c>
    </row>
    <row r="15" spans="1:17" x14ac:dyDescent="0.35">
      <c r="A15" s="172"/>
      <c r="B15" s="9">
        <v>2023</v>
      </c>
      <c r="C15" s="9" t="s">
        <v>20</v>
      </c>
      <c r="D15" s="23">
        <f>1889288+60654</f>
        <v>1949942</v>
      </c>
      <c r="E15" s="24">
        <f>56623+979011</f>
        <v>1035634</v>
      </c>
      <c r="F15" s="24">
        <f>61371+1514277</f>
        <v>1575648</v>
      </c>
      <c r="G15" s="36">
        <f>61371+1531849</f>
        <v>1593220</v>
      </c>
      <c r="H15" s="24">
        <f>61371+1006174</f>
        <v>1067545</v>
      </c>
      <c r="I15" s="24">
        <f>61371+708252</f>
        <v>769623</v>
      </c>
      <c r="J15" s="36">
        <f>61371+690449</f>
        <v>751820</v>
      </c>
      <c r="K15" s="24">
        <f>838+564632</f>
        <v>565470</v>
      </c>
      <c r="L15" s="24">
        <f>838+895788</f>
        <v>896626</v>
      </c>
      <c r="M15" s="36">
        <f>838+569380</f>
        <v>570218</v>
      </c>
      <c r="N15" s="36">
        <f>838+1537924</f>
        <v>1538762</v>
      </c>
      <c r="O15" s="24">
        <f>1544901+838</f>
        <v>1545739</v>
      </c>
      <c r="P15" s="25">
        <f t="shared" si="0"/>
        <v>13860247</v>
      </c>
      <c r="Q15" s="56" t="s">
        <v>19</v>
      </c>
    </row>
    <row r="16" spans="1:17" x14ac:dyDescent="0.35">
      <c r="A16" s="172"/>
      <c r="B16" s="7">
        <v>2024</v>
      </c>
      <c r="C16" s="7" t="s">
        <v>18</v>
      </c>
      <c r="D16" s="20">
        <v>631</v>
      </c>
      <c r="E16" s="21">
        <v>453</v>
      </c>
      <c r="F16" s="21">
        <v>835</v>
      </c>
      <c r="G16" s="21">
        <f>0+1117</f>
        <v>1117</v>
      </c>
      <c r="H16" s="21">
        <v>1102</v>
      </c>
      <c r="I16" s="21">
        <v>734</v>
      </c>
      <c r="J16" s="21">
        <v>714</v>
      </c>
      <c r="K16" s="21">
        <v>698</v>
      </c>
      <c r="L16" s="21">
        <v>769</v>
      </c>
      <c r="M16" s="21">
        <v>855</v>
      </c>
      <c r="N16" s="21">
        <v>762</v>
      </c>
      <c r="O16" s="21">
        <v>0</v>
      </c>
      <c r="P16" s="22">
        <f t="shared" si="0"/>
        <v>8670</v>
      </c>
      <c r="Q16" s="55">
        <f t="shared" ref="Q16" si="2">(P16-P14)/P14</f>
        <v>-0.19744515412385449</v>
      </c>
    </row>
    <row r="17" spans="1:19" x14ac:dyDescent="0.35">
      <c r="A17" s="172"/>
      <c r="B17" s="11">
        <v>2024</v>
      </c>
      <c r="C17" s="11" t="s">
        <v>20</v>
      </c>
      <c r="D17" s="23">
        <f>868+1097178</f>
        <v>1098046</v>
      </c>
      <c r="E17" s="24">
        <f>868+547298</f>
        <v>548166</v>
      </c>
      <c r="F17" s="24">
        <f>868+1053662</f>
        <v>1054530</v>
      </c>
      <c r="G17" s="36">
        <f>868+1405129</f>
        <v>1405997</v>
      </c>
      <c r="H17" s="24">
        <f>868+1330152</f>
        <v>1331020</v>
      </c>
      <c r="I17" s="24">
        <f>868+886254</f>
        <v>887122</v>
      </c>
      <c r="J17" s="36">
        <f>868+862130</f>
        <v>862998</v>
      </c>
      <c r="K17" s="24">
        <f>868+842828</f>
        <v>843696</v>
      </c>
      <c r="L17" s="24">
        <f>891+958118</f>
        <v>959009</v>
      </c>
      <c r="M17" s="36">
        <f>891+1065168</f>
        <v>1066059</v>
      </c>
      <c r="N17" s="36">
        <f>891+891</f>
        <v>1782</v>
      </c>
      <c r="O17" s="24">
        <f>891+891</f>
        <v>1782</v>
      </c>
      <c r="P17" s="25">
        <f t="shared" si="0"/>
        <v>10060207</v>
      </c>
      <c r="Q17" s="57">
        <f>(P17-P15)/P15</f>
        <v>-0.27416827420175122</v>
      </c>
    </row>
    <row r="18" spans="1:19" x14ac:dyDescent="0.35">
      <c r="A18" s="172"/>
      <c r="B18" s="3">
        <v>2025</v>
      </c>
      <c r="C18" s="7" t="s">
        <v>18</v>
      </c>
      <c r="D18" s="20">
        <v>591</v>
      </c>
      <c r="E18" s="21">
        <v>265</v>
      </c>
      <c r="F18" s="21">
        <v>1251</v>
      </c>
      <c r="G18" s="21">
        <v>660</v>
      </c>
      <c r="H18" s="21">
        <v>854</v>
      </c>
      <c r="I18" s="21">
        <v>893</v>
      </c>
      <c r="J18" s="21">
        <f>0+702</f>
        <v>702</v>
      </c>
      <c r="K18" s="21">
        <f>568+0</f>
        <v>568</v>
      </c>
      <c r="L18" s="21">
        <f>291+0</f>
        <v>291</v>
      </c>
      <c r="M18" s="21">
        <v>715</v>
      </c>
      <c r="N18" s="21">
        <v>587</v>
      </c>
      <c r="O18" s="21"/>
      <c r="P18" s="22">
        <f t="shared" si="0"/>
        <v>7377</v>
      </c>
      <c r="Q18" s="56">
        <f>(P18-P16)/P16</f>
        <v>-0.14913494809688582</v>
      </c>
    </row>
    <row r="19" spans="1:19" x14ac:dyDescent="0.35">
      <c r="A19" s="172"/>
      <c r="B19" s="8">
        <v>2025</v>
      </c>
      <c r="C19" s="9" t="s">
        <v>20</v>
      </c>
      <c r="D19" s="26">
        <f>891+736548</f>
        <v>737439</v>
      </c>
      <c r="E19" s="24">
        <f>330755+891</f>
        <v>331646</v>
      </c>
      <c r="F19" s="24">
        <f>2088817+891</f>
        <v>2089708</v>
      </c>
      <c r="G19" s="36">
        <f>822438+891</f>
        <v>823329</v>
      </c>
      <c r="H19" s="24">
        <v>1079231</v>
      </c>
      <c r="I19" s="24">
        <v>1112469</v>
      </c>
      <c r="J19" s="36">
        <f>897224+920</f>
        <v>898144</v>
      </c>
      <c r="K19" s="24">
        <f>726134+920</f>
        <v>727054</v>
      </c>
      <c r="L19" s="24">
        <f>914+382698</f>
        <v>383612</v>
      </c>
      <c r="M19" s="36">
        <v>1166628</v>
      </c>
      <c r="N19" s="36">
        <v>775999</v>
      </c>
      <c r="O19" s="24"/>
      <c r="P19" s="25">
        <f t="shared" si="0"/>
        <v>10125259</v>
      </c>
      <c r="Q19" s="54">
        <f>(P19-P17)/P17</f>
        <v>6.4662685370191686E-3</v>
      </c>
    </row>
    <row r="20" spans="1:19" x14ac:dyDescent="0.35">
      <c r="A20" s="188" t="s">
        <v>43</v>
      </c>
      <c r="B20" s="18">
        <v>2023</v>
      </c>
      <c r="C20" s="18" t="s">
        <v>18</v>
      </c>
      <c r="D20" s="18">
        <v>107</v>
      </c>
      <c r="E20" s="38">
        <v>55</v>
      </c>
      <c r="F20" s="21">
        <v>106</v>
      </c>
      <c r="G20" s="21">
        <v>353</v>
      </c>
      <c r="H20" s="21">
        <v>398</v>
      </c>
      <c r="I20" s="21">
        <v>304</v>
      </c>
      <c r="J20" s="21">
        <v>285</v>
      </c>
      <c r="K20" s="21">
        <v>78</v>
      </c>
      <c r="L20" s="21">
        <v>350</v>
      </c>
      <c r="M20" s="21">
        <v>182</v>
      </c>
      <c r="N20" s="21">
        <v>221</v>
      </c>
      <c r="O20" s="21">
        <v>221</v>
      </c>
      <c r="P20" s="22">
        <f t="shared" si="0"/>
        <v>2660</v>
      </c>
      <c r="Q20" s="53" t="s">
        <v>19</v>
      </c>
    </row>
    <row r="21" spans="1:19" x14ac:dyDescent="0.35">
      <c r="A21" s="188"/>
      <c r="B21" s="18">
        <v>2023</v>
      </c>
      <c r="C21" s="18" t="s">
        <v>20</v>
      </c>
      <c r="D21" s="19">
        <v>184287</v>
      </c>
      <c r="E21" s="142">
        <v>95511</v>
      </c>
      <c r="F21" s="24">
        <v>182581</v>
      </c>
      <c r="G21" s="36">
        <v>660828</v>
      </c>
      <c r="H21" s="24">
        <v>681106</v>
      </c>
      <c r="I21" s="24">
        <v>520622</v>
      </c>
      <c r="J21" s="36">
        <v>488184</v>
      </c>
      <c r="K21" s="24">
        <v>132263</v>
      </c>
      <c r="L21" s="24">
        <v>599157</v>
      </c>
      <c r="M21" s="36">
        <v>312335</v>
      </c>
      <c r="N21" s="36">
        <v>1811481</v>
      </c>
      <c r="O21" s="24">
        <v>2918655</v>
      </c>
      <c r="P21" s="25">
        <f t="shared" si="0"/>
        <v>8587010</v>
      </c>
      <c r="Q21" s="56" t="s">
        <v>19</v>
      </c>
    </row>
    <row r="22" spans="1:19" x14ac:dyDescent="0.35">
      <c r="A22" s="188"/>
      <c r="B22" s="18">
        <v>2024</v>
      </c>
      <c r="C22" s="18" t="s">
        <v>18</v>
      </c>
      <c r="D22" s="18">
        <v>110</v>
      </c>
      <c r="E22" s="38">
        <v>104</v>
      </c>
      <c r="F22" s="21">
        <v>168</v>
      </c>
      <c r="G22" s="21">
        <v>395</v>
      </c>
      <c r="H22" s="21">
        <v>522</v>
      </c>
      <c r="I22" s="21">
        <v>258</v>
      </c>
      <c r="J22" s="21">
        <v>243</v>
      </c>
      <c r="K22" s="21">
        <v>140</v>
      </c>
      <c r="L22" s="21">
        <v>267</v>
      </c>
      <c r="M22" s="21">
        <v>193</v>
      </c>
      <c r="N22" s="21">
        <v>195</v>
      </c>
      <c r="O22" s="21">
        <v>227</v>
      </c>
      <c r="P22" s="22">
        <f t="shared" si="0"/>
        <v>2822</v>
      </c>
      <c r="Q22" s="55">
        <f t="shared" ref="Q22" si="3">(P22-P20)/P20</f>
        <v>6.0902255639097742E-2</v>
      </c>
    </row>
    <row r="23" spans="1:19" x14ac:dyDescent="0.35">
      <c r="A23" s="188"/>
      <c r="B23" s="18">
        <v>2024</v>
      </c>
      <c r="C23" s="18" t="s">
        <v>20</v>
      </c>
      <c r="D23" s="19">
        <v>191269</v>
      </c>
      <c r="E23" s="142">
        <v>180927</v>
      </c>
      <c r="F23" s="24">
        <v>291239</v>
      </c>
      <c r="G23" s="36">
        <v>712210</v>
      </c>
      <c r="H23" s="24">
        <v>928044</v>
      </c>
      <c r="I23" s="24">
        <v>459553</v>
      </c>
      <c r="J23" s="36">
        <v>432933</v>
      </c>
      <c r="K23" s="24">
        <v>250150</v>
      </c>
      <c r="L23" s="24">
        <v>475523</v>
      </c>
      <c r="M23" s="36">
        <v>344204</v>
      </c>
      <c r="N23" s="36">
        <v>347753</v>
      </c>
      <c r="O23" s="24">
        <v>404538</v>
      </c>
      <c r="P23" s="25">
        <f t="shared" si="0"/>
        <v>5018343</v>
      </c>
      <c r="Q23" s="57">
        <f>(P23-P21)/P21</f>
        <v>-0.4155890117747621</v>
      </c>
    </row>
    <row r="24" spans="1:19" x14ac:dyDescent="0.35">
      <c r="A24" s="188"/>
      <c r="B24" s="18">
        <v>2025</v>
      </c>
      <c r="C24" s="18" t="s">
        <v>18</v>
      </c>
      <c r="D24" s="18">
        <v>56</v>
      </c>
      <c r="E24" s="38">
        <v>52</v>
      </c>
      <c r="F24" s="21">
        <v>56</v>
      </c>
      <c r="G24" s="21">
        <v>346</v>
      </c>
      <c r="H24" s="21">
        <v>251</v>
      </c>
      <c r="I24" s="21">
        <v>293</v>
      </c>
      <c r="J24" s="21">
        <f>251</f>
        <v>251</v>
      </c>
      <c r="K24" s="21">
        <f>180</f>
        <v>180</v>
      </c>
      <c r="L24" s="21">
        <f>255</f>
        <v>255</v>
      </c>
      <c r="M24" s="21">
        <f>283</f>
        <v>283</v>
      </c>
      <c r="N24" s="21">
        <f>264</f>
        <v>264</v>
      </c>
      <c r="O24" s="21">
        <f>196+16</f>
        <v>212</v>
      </c>
      <c r="P24" s="22">
        <f t="shared" si="0"/>
        <v>2499</v>
      </c>
      <c r="Q24" s="56">
        <f>(P24-P22)/P22</f>
        <v>-0.1144578313253012</v>
      </c>
    </row>
    <row r="25" spans="1:19" ht="17.25" customHeight="1" x14ac:dyDescent="0.35">
      <c r="A25" s="188"/>
      <c r="B25" s="18">
        <v>2025</v>
      </c>
      <c r="C25" s="18" t="s">
        <v>20</v>
      </c>
      <c r="D25" s="19">
        <v>101085</v>
      </c>
      <c r="E25" s="142">
        <v>93986</v>
      </c>
      <c r="F25" s="24">
        <v>101085</v>
      </c>
      <c r="G25" s="36">
        <v>672993</v>
      </c>
      <c r="H25" s="24">
        <v>464722</v>
      </c>
      <c r="I25" s="24">
        <f>542187</f>
        <v>542187</v>
      </c>
      <c r="J25" s="36">
        <f>464722</f>
        <v>464722</v>
      </c>
      <c r="K25" s="24">
        <f>333770</f>
        <v>333770</v>
      </c>
      <c r="L25" s="24">
        <v>472100</v>
      </c>
      <c r="M25" s="36">
        <f>523744</f>
        <v>523744</v>
      </c>
      <c r="N25" s="36">
        <f>488699</f>
        <v>488699</v>
      </c>
      <c r="O25" s="24">
        <f>305278+22599</f>
        <v>327877</v>
      </c>
      <c r="P25" s="25">
        <f t="shared" si="0"/>
        <v>4586970</v>
      </c>
      <c r="Q25" s="54">
        <f>(P25-P23)/P23</f>
        <v>-8.5959249895832146E-2</v>
      </c>
    </row>
    <row r="26" spans="1:19" x14ac:dyDescent="0.35">
      <c r="A26" s="189" t="s">
        <v>46</v>
      </c>
      <c r="B26" s="137">
        <v>2023</v>
      </c>
      <c r="C26" s="138" t="s">
        <v>18</v>
      </c>
      <c r="D26" s="139">
        <f>SUM(D2,D8,D14,D20)</f>
        <v>2178</v>
      </c>
      <c r="E26" s="143">
        <f>SUM(,E2,E8,E14,E20)</f>
        <v>1593</v>
      </c>
      <c r="F26" s="39">
        <f>SUM(F2,F8,F14,F20)</f>
        <v>2093</v>
      </c>
      <c r="G26" s="40">
        <f>SUM(,G2,G8,G14,G20)</f>
        <v>2765</v>
      </c>
      <c r="H26" s="39">
        <f>SUM(H2,H8,H14,H20)</f>
        <v>2461</v>
      </c>
      <c r="I26" s="40">
        <f>SUM(,I2,I8,I14,I20)</f>
        <v>2068</v>
      </c>
      <c r="J26" s="39">
        <f>SUM(J2,J8,J14,J20)</f>
        <v>2066</v>
      </c>
      <c r="K26" s="40">
        <f>SUM(,K2,K8,K14,K20)</f>
        <v>1506</v>
      </c>
      <c r="L26" s="39">
        <f>SUM(L2,L8,L14,L20)</f>
        <v>2021</v>
      </c>
      <c r="M26" s="40">
        <f>SUM(,M2,M8,M14,M20)</f>
        <v>1649</v>
      </c>
      <c r="N26" s="39">
        <f>SUM(N2,N8,N14,N20)</f>
        <v>2778</v>
      </c>
      <c r="O26" s="40"/>
      <c r="P26" s="42">
        <f t="shared" si="0"/>
        <v>23178</v>
      </c>
      <c r="Q26" s="53" t="s">
        <v>19</v>
      </c>
    </row>
    <row r="27" spans="1:19" x14ac:dyDescent="0.35">
      <c r="A27" s="189"/>
      <c r="B27" s="137">
        <v>2023</v>
      </c>
      <c r="C27" s="138" t="s">
        <v>20</v>
      </c>
      <c r="D27" s="140">
        <f>SUM(D3,D9,D15,D21)</f>
        <v>3438259</v>
      </c>
      <c r="E27" s="144">
        <f>SUM(E3,E9,E15,E21)</f>
        <v>2229025</v>
      </c>
      <c r="F27" s="47">
        <f>SUM(F3,F9,F15,F21)</f>
        <v>3367779</v>
      </c>
      <c r="G27" s="48">
        <f>SUM(G3,G9,G15,G21)</f>
        <v>4305878</v>
      </c>
      <c r="H27" s="47">
        <f>SUM(H3,H9,H15,H21)</f>
        <v>3832091</v>
      </c>
      <c r="I27" s="48">
        <f>SUM(I3,I9,I15,I21)</f>
        <v>3259355</v>
      </c>
      <c r="J27" s="47">
        <f>SUM(J3,J9,J15,J21)</f>
        <v>3135514</v>
      </c>
      <c r="K27" s="48">
        <f>SUM(K3,K9,K15,K21)</f>
        <v>2418333</v>
      </c>
      <c r="L27" s="47">
        <f>SUM(L3,L9,L15,L21)</f>
        <v>3137073</v>
      </c>
      <c r="M27" s="48">
        <f>SUM(M3,M9,M15,M21)</f>
        <v>2563790</v>
      </c>
      <c r="N27" s="47">
        <f>SUM(N3,N9,N15,N21)</f>
        <v>5591002</v>
      </c>
      <c r="O27" s="48"/>
      <c r="P27" s="50">
        <f t="shared" si="0"/>
        <v>37278099</v>
      </c>
      <c r="Q27" s="56" t="s">
        <v>19</v>
      </c>
    </row>
    <row r="28" spans="1:19" x14ac:dyDescent="0.35">
      <c r="A28" s="189"/>
      <c r="B28" s="137">
        <v>2024</v>
      </c>
      <c r="C28" s="138" t="s">
        <v>18</v>
      </c>
      <c r="D28" s="139">
        <f>SUM(D4,D10,D16,D22)</f>
        <v>1605</v>
      </c>
      <c r="E28" s="143">
        <f>SUM(E4,E10,E16,E22)</f>
        <v>1506</v>
      </c>
      <c r="F28" s="39">
        <f>SUM(F4,F10,F16,F22)</f>
        <v>1902</v>
      </c>
      <c r="G28" s="40">
        <f>SUM(G4,G10,G16,G22)</f>
        <v>2533</v>
      </c>
      <c r="H28" s="39">
        <f>SUM(H4,H10,H16,H22)</f>
        <v>2610</v>
      </c>
      <c r="I28" s="40">
        <f>SUM(I4,I10,I16,I22)</f>
        <v>1785</v>
      </c>
      <c r="J28" s="39">
        <f>SUM(J4,J10,J16,J22)</f>
        <v>1697</v>
      </c>
      <c r="K28" s="40">
        <f>SUM(K4,K10,K16,K22)</f>
        <v>1324</v>
      </c>
      <c r="L28" s="39">
        <f>SUM(L4,L10,L16,L22)</f>
        <v>1730</v>
      </c>
      <c r="M28" s="40">
        <f>SUM(M4,M10,M16,M22)</f>
        <v>1782</v>
      </c>
      <c r="N28" s="39">
        <f>SUM(N4,N10,N16,N22)</f>
        <v>1848</v>
      </c>
      <c r="O28" s="40"/>
      <c r="P28" s="42">
        <f t="shared" si="0"/>
        <v>20322</v>
      </c>
      <c r="Q28" s="55">
        <f>(P28-P26)/P26</f>
        <v>-0.12322029510742946</v>
      </c>
    </row>
    <row r="29" spans="1:19" x14ac:dyDescent="0.35">
      <c r="A29" s="189"/>
      <c r="B29" s="137">
        <v>2024</v>
      </c>
      <c r="C29" s="138" t="s">
        <v>20</v>
      </c>
      <c r="D29" s="140">
        <f>SUM(D5,D11,D17,D23)</f>
        <v>2750435</v>
      </c>
      <c r="E29" s="145">
        <f>SUM(E5,E11,E17,E23)</f>
        <v>2297943</v>
      </c>
      <c r="F29" s="43">
        <f>SUM(F5,F11,F17,F23)</f>
        <v>2441659</v>
      </c>
      <c r="G29" s="44">
        <f>SUM(G5,G11,G17,G23)</f>
        <v>3560027</v>
      </c>
      <c r="H29" s="43">
        <f>SUM(H5,H11,H17,H23)</f>
        <v>4254334</v>
      </c>
      <c r="I29" s="44">
        <f>SUM(I5,I11,I17,I23)</f>
        <v>2873105</v>
      </c>
      <c r="J29" s="43">
        <f>SUM(J5,J11,J17,J23)</f>
        <v>2886791</v>
      </c>
      <c r="K29" s="44">
        <f>SUM(K5,K11,K17,K23)</f>
        <v>2879726</v>
      </c>
      <c r="L29" s="43">
        <f>SUM(L5,L11,L17,L23)</f>
        <v>2776792</v>
      </c>
      <c r="M29" s="44">
        <f>SUM(M5,M11,M17,M23)</f>
        <v>2366233</v>
      </c>
      <c r="N29" s="43">
        <f>SUM(N5,N11,N17,N23)</f>
        <v>1993175</v>
      </c>
      <c r="O29" s="44"/>
      <c r="P29" s="45">
        <f t="shared" si="0"/>
        <v>31080220</v>
      </c>
      <c r="Q29" s="57">
        <f>(P29-P27)/P27</f>
        <v>-0.16626059714042821</v>
      </c>
      <c r="R29" s="135" t="s">
        <v>49</v>
      </c>
      <c r="S29" s="135" t="s">
        <v>50</v>
      </c>
    </row>
    <row r="30" spans="1:19" x14ac:dyDescent="0.35">
      <c r="A30" s="189"/>
      <c r="B30" s="137">
        <v>2025</v>
      </c>
      <c r="C30" s="138" t="s">
        <v>18</v>
      </c>
      <c r="D30" s="141">
        <f>SUM(D6,D12,D18,D24)</f>
        <v>1371</v>
      </c>
      <c r="E30" s="146">
        <f>SUM(E6,E12,E18,E24)</f>
        <v>883</v>
      </c>
      <c r="F30" s="51">
        <f>SUM(F6,F12,F18,F24)</f>
        <v>1791</v>
      </c>
      <c r="G30" s="52">
        <f>SUM(G6,G12,G18,G24)</f>
        <v>1962</v>
      </c>
      <c r="H30" s="51">
        <f>SUM(H6,H12,H18,H24)</f>
        <v>2290</v>
      </c>
      <c r="I30" s="52">
        <f>SUM(I6,I12,I18,I24)</f>
        <v>2093</v>
      </c>
      <c r="J30" s="51">
        <f>SUM(J6,J12,J18,J24)</f>
        <v>1845</v>
      </c>
      <c r="K30" s="51">
        <f>SUM(K6,K12,K18,K24)</f>
        <v>1290</v>
      </c>
      <c r="L30" s="52">
        <f>SUM(L6,L12,L18,L24)</f>
        <v>1452</v>
      </c>
      <c r="M30" s="51">
        <f>SUM(M6,M12,M18,M24)</f>
        <v>1809</v>
      </c>
      <c r="N30" s="51">
        <f>SUM(N6,N12,N18,N24)</f>
        <v>1637</v>
      </c>
      <c r="O30" s="52"/>
      <c r="P30" s="46">
        <f>SUM(D30:O30)</f>
        <v>18423</v>
      </c>
      <c r="Q30" s="56">
        <f>(P30-P28)/P28</f>
        <v>-9.3445527015057567E-2</v>
      </c>
      <c r="R30" s="136">
        <f>(P30-(SUM(D28:N28)))/(SUM(D28:O28))</f>
        <v>-9.3445527015057567E-2</v>
      </c>
      <c r="S30" s="136">
        <f>(P30-(SUM(D26:N26)))/(SUM(D26:N26))</f>
        <v>-0.20515143670722236</v>
      </c>
    </row>
    <row r="31" spans="1:19" x14ac:dyDescent="0.35">
      <c r="A31" s="189"/>
      <c r="B31" s="137">
        <v>2025</v>
      </c>
      <c r="C31" s="138" t="s">
        <v>20</v>
      </c>
      <c r="D31" s="140">
        <f t="shared" ref="D31:N31" si="4">SUM(D1,D7,D13,D19,D25)</f>
        <v>2246273</v>
      </c>
      <c r="E31" s="145">
        <f t="shared" si="4"/>
        <v>1479082</v>
      </c>
      <c r="F31" s="43">
        <f t="shared" si="4"/>
        <v>3000130</v>
      </c>
      <c r="G31" s="44">
        <f t="shared" si="4"/>
        <v>3773402</v>
      </c>
      <c r="H31" s="43">
        <f t="shared" si="4"/>
        <v>3837943</v>
      </c>
      <c r="I31" s="44">
        <f t="shared" si="4"/>
        <v>3491848</v>
      </c>
      <c r="J31" s="43">
        <f t="shared" si="4"/>
        <v>2507361</v>
      </c>
      <c r="K31" s="43">
        <f t="shared" si="4"/>
        <v>2146012</v>
      </c>
      <c r="L31" s="44">
        <f t="shared" si="4"/>
        <v>2696591</v>
      </c>
      <c r="M31" s="43">
        <f t="shared" si="4"/>
        <v>3313982</v>
      </c>
      <c r="N31" s="43">
        <f t="shared" si="4"/>
        <v>2855195</v>
      </c>
      <c r="O31" s="43"/>
      <c r="P31" s="45">
        <f>SUM(D31:O31)</f>
        <v>31347819</v>
      </c>
      <c r="Q31" s="54">
        <f>(P31-P29)/P29</f>
        <v>8.6099454894463419E-3</v>
      </c>
      <c r="R31" s="136">
        <f>(P31-(SUM(D29:N29)))/(SUM(D29:N29))</f>
        <v>8.6099454894463419E-3</v>
      </c>
      <c r="S31" s="136">
        <f>(P31-(SUM(D27:N27)))/(SUM(D27:N27))</f>
        <v>-0.15908214632940376</v>
      </c>
    </row>
  </sheetData>
  <mergeCells count="5">
    <mergeCell ref="A2:A7"/>
    <mergeCell ref="A8:A13"/>
    <mergeCell ref="A14:A19"/>
    <mergeCell ref="A20:A25"/>
    <mergeCell ref="A26:A31"/>
  </mergeCells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3FBE9-4171-40F9-810E-6F55CD4D7ACA}">
  <dimension ref="A1:K22"/>
  <sheetViews>
    <sheetView workbookViewId="0">
      <selection activeCell="D13" sqref="D13"/>
    </sheetView>
  </sheetViews>
  <sheetFormatPr baseColWidth="10" defaultColWidth="8.81640625" defaultRowHeight="14.5" x14ac:dyDescent="0.35"/>
  <cols>
    <col min="1" max="1" width="13" customWidth="1"/>
    <col min="2" max="2" width="14.54296875" customWidth="1"/>
    <col min="3" max="4" width="15.54296875" customWidth="1"/>
    <col min="5" max="10" width="11.54296875" customWidth="1"/>
    <col min="11" max="11" width="12.7265625" customWidth="1"/>
  </cols>
  <sheetData>
    <row r="1" spans="1:11" ht="16" x14ac:dyDescent="0.4">
      <c r="A1" s="129" t="s">
        <v>0</v>
      </c>
      <c r="B1" s="129" t="s">
        <v>51</v>
      </c>
      <c r="C1" s="129" t="s">
        <v>52</v>
      </c>
      <c r="D1" s="130" t="s">
        <v>53</v>
      </c>
      <c r="E1" s="131" t="s">
        <v>54</v>
      </c>
      <c r="F1" s="131" t="s">
        <v>55</v>
      </c>
    </row>
    <row r="2" spans="1:11" ht="16" x14ac:dyDescent="0.4">
      <c r="A2" s="119" t="s">
        <v>21</v>
      </c>
      <c r="B2" s="120" t="s">
        <v>56</v>
      </c>
      <c r="C2" s="121">
        <v>400</v>
      </c>
      <c r="D2" s="120" t="s">
        <v>57</v>
      </c>
      <c r="E2" s="118" t="s">
        <v>58</v>
      </c>
      <c r="F2" s="118" t="s">
        <v>59</v>
      </c>
    </row>
    <row r="3" spans="1:11" ht="16" x14ac:dyDescent="0.4">
      <c r="A3" s="120" t="s">
        <v>23</v>
      </c>
      <c r="B3" s="120" t="s">
        <v>60</v>
      </c>
      <c r="C3" s="121">
        <v>1250</v>
      </c>
      <c r="D3" s="120" t="s">
        <v>61</v>
      </c>
      <c r="E3" s="118" t="s">
        <v>62</v>
      </c>
      <c r="F3" s="118" t="s">
        <v>59</v>
      </c>
    </row>
    <row r="4" spans="1:11" ht="16" x14ac:dyDescent="0.4">
      <c r="A4" s="122" t="s">
        <v>26</v>
      </c>
      <c r="B4" s="120" t="s">
        <v>63</v>
      </c>
      <c r="C4" s="123">
        <v>389.7</v>
      </c>
      <c r="D4" s="120" t="s">
        <v>64</v>
      </c>
      <c r="E4" s="118">
        <v>6625289</v>
      </c>
      <c r="F4" s="118" t="s">
        <v>65</v>
      </c>
    </row>
    <row r="5" spans="1:11" ht="16" x14ac:dyDescent="0.4">
      <c r="A5" s="124" t="s">
        <v>27</v>
      </c>
      <c r="B5" s="120" t="s">
        <v>66</v>
      </c>
      <c r="C5" s="123">
        <v>329.08</v>
      </c>
      <c r="D5" s="120" t="s">
        <v>67</v>
      </c>
      <c r="E5" s="118">
        <v>2045703</v>
      </c>
      <c r="F5" s="118" t="s">
        <v>65</v>
      </c>
    </row>
    <row r="6" spans="1:11" ht="16" x14ac:dyDescent="0.4">
      <c r="A6" s="125" t="s">
        <v>45</v>
      </c>
      <c r="B6" s="126" t="s">
        <v>68</v>
      </c>
      <c r="C6" s="121">
        <v>329.08</v>
      </c>
      <c r="D6" s="120" t="s">
        <v>69</v>
      </c>
      <c r="E6" s="118">
        <v>5248464</v>
      </c>
      <c r="F6" s="118" t="s">
        <v>65</v>
      </c>
    </row>
    <row r="7" spans="1:11" x14ac:dyDescent="0.35">
      <c r="A7" s="134"/>
      <c r="D7" s="194"/>
      <c r="E7" s="194"/>
      <c r="F7" s="194"/>
      <c r="G7" s="194"/>
    </row>
    <row r="8" spans="1:11" ht="16" x14ac:dyDescent="0.4">
      <c r="B8" s="118" t="s">
        <v>60</v>
      </c>
      <c r="C8" s="118"/>
      <c r="D8" s="128" t="s">
        <v>21</v>
      </c>
      <c r="E8" s="118"/>
      <c r="F8" s="192" t="s">
        <v>65</v>
      </c>
      <c r="G8" s="193"/>
      <c r="H8" s="190" t="s">
        <v>26</v>
      </c>
      <c r="I8" s="191"/>
      <c r="J8" s="190" t="s">
        <v>45</v>
      </c>
      <c r="K8" s="191"/>
    </row>
    <row r="9" spans="1:11" ht="16" x14ac:dyDescent="0.4">
      <c r="B9" s="120" t="s">
        <v>70</v>
      </c>
      <c r="C9" s="120" t="s">
        <v>48</v>
      </c>
      <c r="D9" s="120" t="s">
        <v>70</v>
      </c>
      <c r="E9" s="118">
        <v>5248464</v>
      </c>
      <c r="F9" s="118" t="s">
        <v>65</v>
      </c>
      <c r="G9" s="120" t="s">
        <v>48</v>
      </c>
      <c r="H9" s="120" t="s">
        <v>70</v>
      </c>
      <c r="I9" s="120" t="s">
        <v>48</v>
      </c>
      <c r="J9" s="120" t="s">
        <v>70</v>
      </c>
      <c r="K9" s="120" t="s">
        <v>48</v>
      </c>
    </row>
    <row r="10" spans="1:11" ht="16" x14ac:dyDescent="0.4">
      <c r="A10" s="132"/>
      <c r="B10" s="120" t="s">
        <v>3</v>
      </c>
      <c r="C10" s="127">
        <v>113025</v>
      </c>
      <c r="D10" s="120" t="s">
        <v>3</v>
      </c>
      <c r="E10" s="127">
        <v>10800</v>
      </c>
      <c r="F10" s="120" t="s">
        <v>3</v>
      </c>
      <c r="G10" s="127">
        <v>12900</v>
      </c>
      <c r="H10" s="120" t="s">
        <v>3</v>
      </c>
      <c r="I10" s="127">
        <v>9420</v>
      </c>
      <c r="J10" s="120" t="s">
        <v>3</v>
      </c>
      <c r="K10" s="118">
        <v>13120</v>
      </c>
    </row>
    <row r="11" spans="1:11" ht="16" x14ac:dyDescent="0.4">
      <c r="A11" s="132"/>
      <c r="B11" s="120" t="s">
        <v>4</v>
      </c>
      <c r="C11" s="127">
        <v>107720</v>
      </c>
      <c r="D11" s="120" t="s">
        <v>4</v>
      </c>
      <c r="E11" s="127">
        <v>9200</v>
      </c>
      <c r="F11" s="120" t="s">
        <v>4</v>
      </c>
      <c r="G11" s="127">
        <v>12600</v>
      </c>
      <c r="H11" s="120" t="s">
        <v>4</v>
      </c>
      <c r="I11" s="127">
        <v>8820</v>
      </c>
      <c r="J11" s="120" t="s">
        <v>4</v>
      </c>
      <c r="K11" s="118">
        <v>12880</v>
      </c>
    </row>
    <row r="12" spans="1:11" ht="16" x14ac:dyDescent="0.4">
      <c r="A12" s="132"/>
      <c r="B12" s="120" t="s">
        <v>5</v>
      </c>
      <c r="C12" s="127">
        <v>144628</v>
      </c>
      <c r="D12" s="120" t="s">
        <v>5</v>
      </c>
      <c r="E12" s="127">
        <v>12800</v>
      </c>
      <c r="F12" s="120" t="s">
        <v>5</v>
      </c>
      <c r="G12" s="127">
        <v>10800</v>
      </c>
      <c r="H12" s="120" t="s">
        <v>5</v>
      </c>
      <c r="I12" s="127">
        <v>13440</v>
      </c>
      <c r="J12" s="120" t="s">
        <v>5</v>
      </c>
      <c r="K12" s="118">
        <v>10720</v>
      </c>
    </row>
    <row r="13" spans="1:11" ht="16" x14ac:dyDescent="0.4">
      <c r="A13" s="132"/>
      <c r="B13" s="120" t="s">
        <v>6</v>
      </c>
      <c r="C13" s="127">
        <v>131140</v>
      </c>
      <c r="D13" s="120" t="s">
        <v>6</v>
      </c>
      <c r="E13" s="127">
        <v>14000</v>
      </c>
      <c r="F13" s="120" t="s">
        <v>6</v>
      </c>
      <c r="G13" s="127">
        <v>13800</v>
      </c>
      <c r="H13" s="120" t="s">
        <v>6</v>
      </c>
      <c r="I13" s="127">
        <v>18660</v>
      </c>
      <c r="J13" s="120" t="s">
        <v>6</v>
      </c>
      <c r="K13" s="118">
        <v>15200</v>
      </c>
    </row>
    <row r="14" spans="1:11" ht="16" x14ac:dyDescent="0.4">
      <c r="A14" s="132"/>
      <c r="B14" s="120" t="s">
        <v>7</v>
      </c>
      <c r="C14" s="127">
        <v>134917</v>
      </c>
      <c r="D14" s="120" t="s">
        <v>7</v>
      </c>
      <c r="E14" s="127">
        <v>13600</v>
      </c>
      <c r="F14" s="120" t="s">
        <v>7</v>
      </c>
      <c r="G14" s="127">
        <v>16650</v>
      </c>
      <c r="H14" s="120" t="s">
        <v>7</v>
      </c>
      <c r="I14" s="127">
        <v>18900</v>
      </c>
      <c r="J14" s="120" t="s">
        <v>7</v>
      </c>
      <c r="K14" s="118">
        <v>20720</v>
      </c>
    </row>
    <row r="15" spans="1:11" ht="16" x14ac:dyDescent="0.4">
      <c r="A15" s="132"/>
      <c r="B15" s="120" t="s">
        <v>8</v>
      </c>
      <c r="C15" s="127">
        <v>124230</v>
      </c>
      <c r="D15" s="120" t="s">
        <v>8</v>
      </c>
      <c r="E15" s="127">
        <v>12800</v>
      </c>
      <c r="F15" s="120" t="s">
        <v>8</v>
      </c>
      <c r="G15" s="127">
        <v>17400</v>
      </c>
      <c r="H15" s="120" t="s">
        <v>8</v>
      </c>
      <c r="I15" s="127">
        <v>19200</v>
      </c>
      <c r="J15" s="120" t="s">
        <v>8</v>
      </c>
      <c r="K15" s="118">
        <v>21280</v>
      </c>
    </row>
    <row r="16" spans="1:11" ht="16" x14ac:dyDescent="0.4">
      <c r="A16" s="132"/>
      <c r="B16" s="120" t="s">
        <v>9</v>
      </c>
      <c r="C16" s="127">
        <v>125525</v>
      </c>
      <c r="D16" s="120" t="s">
        <v>9</v>
      </c>
      <c r="E16" s="127">
        <v>13200</v>
      </c>
      <c r="F16" s="120" t="s">
        <v>9</v>
      </c>
      <c r="G16" s="127">
        <v>18450</v>
      </c>
      <c r="H16" s="120" t="s">
        <v>9</v>
      </c>
      <c r="I16" s="127">
        <v>20040</v>
      </c>
      <c r="J16" s="120" t="s">
        <v>9</v>
      </c>
      <c r="K16" s="118">
        <v>18000</v>
      </c>
    </row>
    <row r="17" spans="1:11" ht="16" x14ac:dyDescent="0.4">
      <c r="A17" s="132"/>
      <c r="B17" s="120" t="s">
        <v>10</v>
      </c>
      <c r="C17" s="127">
        <v>133860</v>
      </c>
      <c r="D17" s="120" t="s">
        <v>10</v>
      </c>
      <c r="E17" s="127">
        <v>12800</v>
      </c>
      <c r="F17" s="120" t="s">
        <v>10</v>
      </c>
      <c r="G17" s="127">
        <v>15600</v>
      </c>
      <c r="H17" s="120" t="s">
        <v>10</v>
      </c>
      <c r="I17" s="127">
        <v>16860</v>
      </c>
      <c r="J17" s="120" t="s">
        <v>10</v>
      </c>
      <c r="K17" s="118">
        <v>20160</v>
      </c>
    </row>
    <row r="18" spans="1:11" ht="16" x14ac:dyDescent="0.4">
      <c r="A18" s="132"/>
      <c r="B18" s="120" t="s">
        <v>11</v>
      </c>
      <c r="C18" s="127">
        <v>102381</v>
      </c>
      <c r="D18" s="120" t="s">
        <v>11</v>
      </c>
      <c r="E18" s="127">
        <v>11600</v>
      </c>
      <c r="F18" s="120" t="s">
        <v>11</v>
      </c>
      <c r="G18" s="127">
        <v>17400</v>
      </c>
      <c r="H18" s="120" t="s">
        <v>11</v>
      </c>
      <c r="I18" s="127">
        <v>14580</v>
      </c>
      <c r="J18" s="120" t="s">
        <v>11</v>
      </c>
      <c r="K18" s="118">
        <v>18320</v>
      </c>
    </row>
    <row r="19" spans="1:11" ht="16" x14ac:dyDescent="0.4">
      <c r="A19" s="132"/>
      <c r="B19" s="120" t="s">
        <v>12</v>
      </c>
      <c r="C19" s="127">
        <v>117716</v>
      </c>
      <c r="D19" s="120" t="s">
        <v>12</v>
      </c>
      <c r="E19" s="127">
        <v>13600</v>
      </c>
      <c r="F19" s="120" t="s">
        <v>12</v>
      </c>
      <c r="G19" s="127">
        <v>9600</v>
      </c>
      <c r="H19" s="120" t="s">
        <v>12</v>
      </c>
      <c r="I19" s="127">
        <v>16620</v>
      </c>
      <c r="J19" s="120" t="s">
        <v>12</v>
      </c>
      <c r="K19" s="118">
        <v>14640</v>
      </c>
    </row>
    <row r="20" spans="1:11" ht="16" x14ac:dyDescent="0.4">
      <c r="A20" s="132"/>
      <c r="B20" s="120" t="s">
        <v>13</v>
      </c>
      <c r="C20" s="127">
        <v>127201</v>
      </c>
      <c r="D20" s="120" t="s">
        <v>13</v>
      </c>
      <c r="E20" s="127">
        <v>13600</v>
      </c>
      <c r="F20" s="120" t="s">
        <v>13</v>
      </c>
      <c r="G20" s="127">
        <v>11550</v>
      </c>
      <c r="H20" s="120" t="s">
        <v>13</v>
      </c>
      <c r="I20" s="127">
        <v>15060</v>
      </c>
      <c r="J20" s="120" t="s">
        <v>13</v>
      </c>
      <c r="K20" s="118">
        <v>18720</v>
      </c>
    </row>
    <row r="21" spans="1:11" ht="16" x14ac:dyDescent="0.4">
      <c r="A21" s="132"/>
      <c r="B21" s="120" t="s">
        <v>14</v>
      </c>
      <c r="C21" s="127">
        <v>119304</v>
      </c>
      <c r="D21" s="120" t="s">
        <v>14</v>
      </c>
      <c r="E21" s="127">
        <v>14000</v>
      </c>
      <c r="F21" s="120" t="s">
        <v>14</v>
      </c>
      <c r="G21" s="127">
        <v>11550</v>
      </c>
      <c r="H21" s="120" t="s">
        <v>14</v>
      </c>
      <c r="I21" s="127">
        <v>10380</v>
      </c>
      <c r="J21" s="120" t="s">
        <v>14</v>
      </c>
      <c r="K21" s="118">
        <v>18960</v>
      </c>
    </row>
    <row r="22" spans="1:11" ht="16" x14ac:dyDescent="0.4">
      <c r="A22" s="133"/>
      <c r="B22" s="120" t="s">
        <v>71</v>
      </c>
      <c r="C22" s="120">
        <v>1481647</v>
      </c>
      <c r="D22" s="120" t="s">
        <v>71</v>
      </c>
      <c r="E22" s="120">
        <f>SUM(E10:E21)</f>
        <v>152000</v>
      </c>
      <c r="F22" s="120" t="s">
        <v>71</v>
      </c>
      <c r="G22" s="120">
        <f>SUM(G10:G21)</f>
        <v>168300</v>
      </c>
      <c r="H22" s="120" t="s">
        <v>71</v>
      </c>
      <c r="I22" s="120">
        <f>SUM(I10:I21)</f>
        <v>181980</v>
      </c>
      <c r="J22" s="120" t="s">
        <v>71</v>
      </c>
      <c r="K22" s="118">
        <f>SUM(K10:K21)</f>
        <v>202720</v>
      </c>
    </row>
  </sheetData>
  <mergeCells count="4">
    <mergeCell ref="J8:K8"/>
    <mergeCell ref="H8:I8"/>
    <mergeCell ref="F8:G8"/>
    <mergeCell ref="D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Agua</vt:lpstr>
      <vt:lpstr>Input Agua</vt:lpstr>
      <vt:lpstr>Input Electricidad</vt:lpstr>
      <vt:lpstr>Electricidad</vt:lpstr>
      <vt:lpstr>Combustibles</vt:lpstr>
      <vt:lpstr>Consumo de agua Sedes APL </vt:lpstr>
      <vt:lpstr>Info sedes para Cliente Libre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Rocio Macarena Sanchez Rivera</cp:lastModifiedBy>
  <cp:revision/>
  <dcterms:created xsi:type="dcterms:W3CDTF">2024-12-30T12:47:13Z</dcterms:created>
  <dcterms:modified xsi:type="dcterms:W3CDTF">2026-10-08T18:30:19Z</dcterms:modified>
  <cp:category/>
  <cp:contentStatus/>
</cp:coreProperties>
</file>